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oombsj\SEA Gas\Website - Documents\Published\3.3. Financial Information\FY25\PCA Documents\"/>
    </mc:Choice>
  </mc:AlternateContent>
  <xr:revisionPtr revIDLastSave="0" documentId="13_ncr:1_{221B527E-8378-4880-B475-84F0F91C332F}" xr6:coauthVersionLast="47" xr6:coauthVersionMax="47" xr10:uidLastSave="{00000000-0000-0000-0000-000000000000}"/>
  <workbookProtection workbookAlgorithmName="SHA-512" workbookHashValue="le+O8QEUpp5FkxsTSi5f1IrrqzdxbLnDNLinG5n3LtV8xnoSIUD1Ne1sUMhCObpeckca8/NAhU+SLM2Qwqse/g==" workbookSaltValue="iRuVf18UjFAdphwenUGfsQ==" workbookSpinCount="100000" lockStructure="1"/>
  <bookViews>
    <workbookView xWindow="-120" yWindow="-120" windowWidth="29040" windowHeight="15720" tabRatio="842" xr2:uid="{00000000-000D-0000-FFFF-FFFF00000000}"/>
  </bookViews>
  <sheets>
    <sheet name="Cover" sheetId="11" r:id="rId1"/>
    <sheet name="Contents" sheetId="4" r:id="rId2"/>
    <sheet name="Financial summary" sheetId="69" r:id="rId3"/>
    <sheet name="Data visualisation" sheetId="82" r:id="rId4"/>
    <sheet name="Pricing benchmarks summary" sheetId="84" r:id="rId5"/>
    <sheet name="1. Pipeline information" sheetId="44" r:id="rId6"/>
    <sheet name="2. Revenue and expenses" sheetId="5" r:id="rId7"/>
    <sheet name="2.1 Profit &amp; Loss by component" sheetId="76" r:id="rId8"/>
    <sheet name="2.2 Allocation to services" sheetId="56" r:id="rId9"/>
    <sheet name="2.3 Revenue contributions " sheetId="57" r:id="rId10"/>
    <sheet name="2.4 Indirect revenue" sheetId="45" r:id="rId11"/>
    <sheet name="2.5 Shared expenses" sheetId="16" r:id="rId12"/>
    <sheet name="3.1 Depreciated Book Value" sheetId="6" r:id="rId13"/>
    <sheet name="3.2 Regulatory Asset Base" sheetId="87" r:id="rId14"/>
    <sheet name="3.3 Asset useful life" sheetId="55" r:id="rId15"/>
    <sheet name="3.4 Asset impairment" sheetId="63" r:id="rId16"/>
    <sheet name="3.5 Depreciation amortisation" sheetId="34" r:id="rId17"/>
    <sheet name="3.6 Shared supporting assets" sheetId="59" r:id="rId18"/>
    <sheet name="4. Recovered Capital" sheetId="47" r:id="rId19"/>
    <sheet name="4.1 Pipelines capex" sheetId="66" r:id="rId20"/>
    <sheet name="5. Historical demand" sheetId="74" r:id="rId21"/>
    <sheet name="6. Pricing template" sheetId="80" r:id="rId22"/>
    <sheet name="Sheet1" sheetId="86" state="hidden" r:id="rId23"/>
    <sheet name="Amendment record" sheetId="67" state="hidden" r:id="rId24"/>
  </sheets>
  <externalReferences>
    <externalReference r:id="rId25"/>
    <externalReference r:id="rId26"/>
  </externalReferences>
  <definedNames>
    <definedName name="ABN">Cover!$C$19</definedName>
    <definedName name="_xlnm.Print_Area" localSheetId="5">'1. Pipeline information'!$A$1:$E$39</definedName>
    <definedName name="_xlnm.Print_Area" localSheetId="6">'2. Revenue and expenses'!$A$1:$G$23</definedName>
    <definedName name="_xlnm.Print_Area" localSheetId="7">'2.1 Profit &amp; Loss by component'!$A$1:$I$46</definedName>
    <definedName name="_xlnm.Print_Area" localSheetId="8">'2.2 Allocation to services'!$A$1:$J$24</definedName>
    <definedName name="_xlnm.Print_Area" localSheetId="9">'2.3 Revenue contributions '!$A$1:$F$29</definedName>
    <definedName name="_xlnm.Print_Area" localSheetId="10">'2.4 Indirect revenue'!$A$1:$I$41</definedName>
    <definedName name="_xlnm.Print_Area" localSheetId="11">'2.5 Shared expenses'!$A$1:$J$37</definedName>
    <definedName name="_xlnm.Print_Area" localSheetId="12">'3.1 Depreciated Book Value'!$A$1:$F$127</definedName>
    <definedName name="_xlnm.Print_Area" localSheetId="13">'3.2 Regulatory Asset Base'!$A$1:$F$98</definedName>
    <definedName name="_xlnm.Print_Area" localSheetId="14">'3.3 Asset useful life'!$A$1:$G$39</definedName>
    <definedName name="_xlnm.Print_Area" localSheetId="15">'3.4 Asset impairment'!$A$1:$I$57</definedName>
    <definedName name="_xlnm.Print_Area" localSheetId="16">'3.5 Depreciation amortisation'!$A$1:$P$86</definedName>
    <definedName name="_xlnm.Print_Area" localSheetId="17">'3.6 Shared supporting assets'!$A$1:$H$50</definedName>
    <definedName name="_xlnm.Print_Area" localSheetId="18">'4. Recovered Capital'!$A$1:$BL$53</definedName>
    <definedName name="_xlnm.Print_Area" localSheetId="19">'4.1 Pipelines capex'!$A$1:$F$41</definedName>
    <definedName name="_xlnm.Print_Area" localSheetId="20">'5. Historical demand'!$A$1:$I$408</definedName>
    <definedName name="_xlnm.Print_Area" localSheetId="0">Cover!$A$2:$J$50</definedName>
    <definedName name="_xlnm.Print_Area" localSheetId="3">'Data visualisation'!$A$1:$J$109</definedName>
    <definedName name="_xlnm.Print_Area" localSheetId="22">Sheet1!$A$1:$N$32</definedName>
    <definedName name="rAllAssets">Sheet1!$A$3:$A$17</definedName>
    <definedName name="rInitialcosts">Sheet1!$G$3:$G$5</definedName>
    <definedName name="rInitialyears">Sheet1!$G$3:$H$5</definedName>
    <definedName name="rPipelineAssets">Sheet1!$A$3:$A$12</definedName>
    <definedName name="rSharedAssets">Sheet1!$A$13:$A$17</definedName>
    <definedName name="Tradingname">Cover!$C$17</definedName>
    <definedName name="Yearending">Cover!$C$27</definedName>
    <definedName name="Yearstart">Cover!$C$25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6" l="1"/>
  <c r="Q84" i="34"/>
  <c r="Q73" i="34"/>
  <c r="Q74" i="34"/>
  <c r="Q72" i="34"/>
  <c r="G17" i="45"/>
  <c r="I17" i="45" s="1"/>
  <c r="H17" i="45"/>
  <c r="E123" i="6" l="1"/>
  <c r="E25" i="16"/>
  <c r="F16" i="45"/>
  <c r="E16" i="45"/>
  <c r="F15" i="45"/>
  <c r="E15" i="45"/>
  <c r="D130" i="6" l="1"/>
  <c r="E15" i="87"/>
  <c r="D15" i="87"/>
  <c r="F15" i="87"/>
  <c r="G15" i="87"/>
  <c r="H15" i="87"/>
  <c r="B16" i="44"/>
  <c r="B15" i="44"/>
  <c r="D119" i="6"/>
  <c r="D118" i="6"/>
  <c r="D117" i="6"/>
  <c r="D116" i="6"/>
  <c r="D115" i="6"/>
  <c r="D114" i="6"/>
  <c r="D111" i="6"/>
  <c r="D110" i="6"/>
  <c r="D109" i="6"/>
  <c r="D108" i="6"/>
  <c r="D107" i="6"/>
  <c r="D112" i="6" s="1"/>
  <c r="D106" i="6"/>
  <c r="D95" i="6"/>
  <c r="D94" i="6"/>
  <c r="D93" i="6"/>
  <c r="D92" i="6"/>
  <c r="D91" i="6"/>
  <c r="D90" i="6"/>
  <c r="D87" i="6"/>
  <c r="D86" i="6"/>
  <c r="D85" i="6"/>
  <c r="D84" i="6"/>
  <c r="D83" i="6"/>
  <c r="D75" i="6"/>
  <c r="D82" i="6"/>
  <c r="D79" i="6"/>
  <c r="D78" i="6"/>
  <c r="D77" i="6"/>
  <c r="D76" i="6"/>
  <c r="D72" i="6"/>
  <c r="D71" i="6"/>
  <c r="D70" i="6"/>
  <c r="D69" i="6"/>
  <c r="D68" i="6"/>
  <c r="D67" i="6"/>
  <c r="D64" i="6"/>
  <c r="D63" i="6"/>
  <c r="D62" i="6" s="1"/>
  <c r="D61" i="6"/>
  <c r="D60" i="6"/>
  <c r="D59" i="6"/>
  <c r="D56" i="6"/>
  <c r="D55" i="6"/>
  <c r="D54" i="6" s="1"/>
  <c r="D53" i="6"/>
  <c r="D52" i="6"/>
  <c r="D51" i="6"/>
  <c r="D48" i="6"/>
  <c r="D47" i="6"/>
  <c r="D46" i="6"/>
  <c r="D49" i="6" s="1"/>
  <c r="D45" i="6"/>
  <c r="D44" i="6"/>
  <c r="D43" i="6"/>
  <c r="D40" i="6"/>
  <c r="D39" i="6"/>
  <c r="D38" i="6"/>
  <c r="D37" i="6"/>
  <c r="D36" i="6"/>
  <c r="D35" i="6"/>
  <c r="D41" i="6" s="1"/>
  <c r="D32" i="6"/>
  <c r="D33" i="6" s="1"/>
  <c r="D31" i="6"/>
  <c r="D30" i="6"/>
  <c r="D29" i="6"/>
  <c r="D28" i="6"/>
  <c r="D27" i="6"/>
  <c r="D24" i="6"/>
  <c r="D23" i="6"/>
  <c r="D22" i="6" s="1"/>
  <c r="D20" i="6"/>
  <c r="D19" i="6"/>
  <c r="D18" i="6"/>
  <c r="D21" i="6" s="1"/>
  <c r="I43" i="74"/>
  <c r="G98" i="66"/>
  <c r="E73" i="66"/>
  <c r="E41" i="66"/>
  <c r="E14" i="47"/>
  <c r="G46" i="59"/>
  <c r="E47" i="59"/>
  <c r="G15" i="59"/>
  <c r="O84" i="34"/>
  <c r="N84" i="34"/>
  <c r="J84" i="34"/>
  <c r="I84" i="34"/>
  <c r="H84" i="34"/>
  <c r="G84" i="34"/>
  <c r="P66" i="34"/>
  <c r="M66" i="34"/>
  <c r="K66" i="34"/>
  <c r="Q57" i="34"/>
  <c r="P59" i="34"/>
  <c r="O59" i="34"/>
  <c r="K59" i="34"/>
  <c r="J59" i="34"/>
  <c r="I59" i="34"/>
  <c r="H59" i="34"/>
  <c r="G59" i="34"/>
  <c r="L16" i="34"/>
  <c r="L15" i="34"/>
  <c r="N15" i="34" s="1"/>
  <c r="D93" i="87"/>
  <c r="E91" i="87"/>
  <c r="E93" i="87"/>
  <c r="F91" i="87"/>
  <c r="F93" i="87"/>
  <c r="G91" i="87"/>
  <c r="G93" i="87"/>
  <c r="H91" i="87"/>
  <c r="H93" i="87"/>
  <c r="D90" i="87"/>
  <c r="E86" i="87"/>
  <c r="E90" i="87"/>
  <c r="F86" i="87"/>
  <c r="F90" i="87"/>
  <c r="G86" i="87"/>
  <c r="G90" i="87"/>
  <c r="H86" i="87"/>
  <c r="H90" i="87"/>
  <c r="D84" i="87"/>
  <c r="D94" i="87"/>
  <c r="E61" i="87"/>
  <c r="E65" i="87"/>
  <c r="F61" i="87"/>
  <c r="F65" i="87"/>
  <c r="G61" i="87"/>
  <c r="G65" i="87"/>
  <c r="H61" i="87"/>
  <c r="H65" i="87"/>
  <c r="E43" i="87"/>
  <c r="E47" i="87"/>
  <c r="F43" i="87"/>
  <c r="F47" i="87"/>
  <c r="G43" i="87"/>
  <c r="G47" i="87"/>
  <c r="H43" i="87"/>
  <c r="H47" i="87"/>
  <c r="E25" i="87"/>
  <c r="E29" i="87"/>
  <c r="F25" i="87"/>
  <c r="F29" i="87"/>
  <c r="G25" i="87"/>
  <c r="G29" i="87"/>
  <c r="H25" i="87"/>
  <c r="H29" i="87"/>
  <c r="D29" i="87"/>
  <c r="D20" i="87"/>
  <c r="D23" i="87"/>
  <c r="E120" i="6"/>
  <c r="E124" i="6" s="1"/>
  <c r="E112" i="6"/>
  <c r="D102" i="6"/>
  <c r="E102" i="6"/>
  <c r="E96" i="6"/>
  <c r="E88" i="6"/>
  <c r="E80" i="6"/>
  <c r="E73" i="6"/>
  <c r="E65" i="6"/>
  <c r="E57" i="6"/>
  <c r="E49" i="6"/>
  <c r="E41" i="6"/>
  <c r="E33" i="6"/>
  <c r="E21" i="6"/>
  <c r="E25" i="6"/>
  <c r="E103" i="6" s="1"/>
  <c r="J35" i="16"/>
  <c r="J34" i="16"/>
  <c r="J33" i="16"/>
  <c r="J32" i="16"/>
  <c r="J31" i="16"/>
  <c r="J30" i="16"/>
  <c r="J29" i="16"/>
  <c r="J28" i="16"/>
  <c r="J27" i="16"/>
  <c r="J26" i="16"/>
  <c r="J24" i="16"/>
  <c r="J22" i="16"/>
  <c r="J21" i="16"/>
  <c r="J16" i="16"/>
  <c r="I35" i="16"/>
  <c r="I34" i="16"/>
  <c r="I33" i="16"/>
  <c r="I32" i="16"/>
  <c r="I31" i="16"/>
  <c r="I30" i="16"/>
  <c r="I29" i="16"/>
  <c r="I28" i="16"/>
  <c r="I27" i="16"/>
  <c r="I26" i="16"/>
  <c r="I25" i="16"/>
  <c r="I24" i="16"/>
  <c r="I23" i="16"/>
  <c r="I22" i="16"/>
  <c r="I21" i="16"/>
  <c r="I20" i="16"/>
  <c r="I19" i="16"/>
  <c r="I18" i="16"/>
  <c r="E37" i="76" s="1"/>
  <c r="I17" i="16"/>
  <c r="I16" i="16"/>
  <c r="I15" i="16"/>
  <c r="H35" i="16"/>
  <c r="H34" i="16"/>
  <c r="H33" i="16"/>
  <c r="H32" i="16"/>
  <c r="H31" i="16"/>
  <c r="H30" i="16"/>
  <c r="H29" i="16"/>
  <c r="H28" i="16"/>
  <c r="H27" i="16"/>
  <c r="H26" i="16"/>
  <c r="H25" i="16"/>
  <c r="H23" i="16" s="1"/>
  <c r="H24" i="16"/>
  <c r="H22" i="16"/>
  <c r="H21" i="16"/>
  <c r="H20" i="16"/>
  <c r="H19" i="16"/>
  <c r="H18" i="16"/>
  <c r="H17" i="16"/>
  <c r="J17" i="16" s="1"/>
  <c r="H16" i="16"/>
  <c r="D35" i="76" s="1"/>
  <c r="H15" i="16"/>
  <c r="D34" i="76" s="1"/>
  <c r="F23" i="16"/>
  <c r="F36" i="16" s="1"/>
  <c r="E23" i="16"/>
  <c r="E36" i="16" s="1"/>
  <c r="I41" i="45"/>
  <c r="I27" i="45"/>
  <c r="H41" i="45"/>
  <c r="H40" i="45"/>
  <c r="H39" i="45"/>
  <c r="H38" i="45"/>
  <c r="H37" i="45"/>
  <c r="H36" i="45"/>
  <c r="H35" i="45"/>
  <c r="I35" i="45" s="1"/>
  <c r="H34" i="45"/>
  <c r="H33" i="45"/>
  <c r="H32" i="45"/>
  <c r="H31" i="45"/>
  <c r="H30" i="45"/>
  <c r="H29" i="45"/>
  <c r="H28" i="45"/>
  <c r="H27" i="45"/>
  <c r="H26" i="45"/>
  <c r="H25" i="45"/>
  <c r="H24" i="45"/>
  <c r="H23" i="45"/>
  <c r="H22" i="45"/>
  <c r="H21" i="45"/>
  <c r="H20" i="45"/>
  <c r="H19" i="45"/>
  <c r="H18" i="45"/>
  <c r="H16" i="45"/>
  <c r="H15" i="45"/>
  <c r="G18" i="45"/>
  <c r="I18" i="45" s="1"/>
  <c r="G16" i="45"/>
  <c r="G15" i="45"/>
  <c r="D42" i="45"/>
  <c r="E42" i="45"/>
  <c r="D29" i="57"/>
  <c r="C17" i="57"/>
  <c r="D14" i="76" s="1"/>
  <c r="D17" i="57"/>
  <c r="E16" i="57"/>
  <c r="E15" i="57"/>
  <c r="E14" i="57"/>
  <c r="E13" i="57"/>
  <c r="E12" i="57"/>
  <c r="E11" i="57"/>
  <c r="J87" i="56"/>
  <c r="J86" i="56"/>
  <c r="J85" i="56"/>
  <c r="J23" i="56"/>
  <c r="J22" i="56" s="1"/>
  <c r="G18" i="76"/>
  <c r="H18" i="76"/>
  <c r="E34" i="76"/>
  <c r="E35" i="76"/>
  <c r="E36" i="76"/>
  <c r="E38" i="76"/>
  <c r="E39" i="76"/>
  <c r="E40" i="76"/>
  <c r="E41" i="76"/>
  <c r="E42" i="76"/>
  <c r="D37" i="76"/>
  <c r="E78" i="56" s="1"/>
  <c r="E71" i="56" s="1"/>
  <c r="D38" i="76"/>
  <c r="D39" i="76"/>
  <c r="D40" i="76"/>
  <c r="D41" i="76"/>
  <c r="H150" i="80"/>
  <c r="H151" i="80"/>
  <c r="H152" i="80"/>
  <c r="H153" i="80"/>
  <c r="H154" i="80"/>
  <c r="H155" i="80"/>
  <c r="H156" i="80"/>
  <c r="H157" i="80"/>
  <c r="H158" i="80"/>
  <c r="H138" i="80"/>
  <c r="H139" i="80"/>
  <c r="H140" i="80"/>
  <c r="H141" i="80"/>
  <c r="H142" i="80"/>
  <c r="H143" i="80"/>
  <c r="H144" i="80"/>
  <c r="H145" i="80"/>
  <c r="H146" i="80"/>
  <c r="E150" i="80"/>
  <c r="E151" i="80"/>
  <c r="E152" i="80"/>
  <c r="E153" i="80"/>
  <c r="E154" i="80"/>
  <c r="E155" i="80"/>
  <c r="E156" i="80"/>
  <c r="E157" i="80"/>
  <c r="E158" i="80"/>
  <c r="D150" i="80"/>
  <c r="D151" i="80"/>
  <c r="D152" i="80"/>
  <c r="D153" i="80"/>
  <c r="D154" i="80"/>
  <c r="D155" i="80"/>
  <c r="D156" i="80"/>
  <c r="D157" i="80"/>
  <c r="D158" i="80"/>
  <c r="F117" i="80"/>
  <c r="F118" i="80"/>
  <c r="F119" i="80"/>
  <c r="F120" i="80"/>
  <c r="F121" i="80"/>
  <c r="F122" i="80"/>
  <c r="F123" i="80"/>
  <c r="F124" i="80"/>
  <c r="F125" i="80"/>
  <c r="E105" i="80"/>
  <c r="E106" i="80"/>
  <c r="E107" i="80"/>
  <c r="E108" i="80"/>
  <c r="E109" i="80"/>
  <c r="E110" i="80"/>
  <c r="E111" i="80"/>
  <c r="E112" i="80"/>
  <c r="E113" i="80"/>
  <c r="D111" i="80"/>
  <c r="G111" i="80" s="1"/>
  <c r="F71" i="80" s="1"/>
  <c r="D112" i="80"/>
  <c r="D113" i="80"/>
  <c r="D93" i="80"/>
  <c r="D94" i="80"/>
  <c r="D95" i="80"/>
  <c r="E80" i="80"/>
  <c r="E81" i="80"/>
  <c r="E82" i="80"/>
  <c r="E83" i="80"/>
  <c r="E84" i="80"/>
  <c r="E85" i="80"/>
  <c r="E86" i="80"/>
  <c r="E87" i="80"/>
  <c r="E88" i="80"/>
  <c r="D77" i="87"/>
  <c r="E73" i="87"/>
  <c r="E77" i="87"/>
  <c r="F73" i="87"/>
  <c r="F77" i="87"/>
  <c r="G73" i="87"/>
  <c r="G77" i="87"/>
  <c r="H73" i="87"/>
  <c r="H77" i="87"/>
  <c r="D71" i="87"/>
  <c r="E67" i="87"/>
  <c r="E71" i="87"/>
  <c r="F67" i="87"/>
  <c r="F71" i="87"/>
  <c r="G67" i="87"/>
  <c r="G71" i="87"/>
  <c r="H67" i="87"/>
  <c r="H71" i="87"/>
  <c r="D65" i="87"/>
  <c r="D59" i="87"/>
  <c r="E55" i="87"/>
  <c r="E59" i="87"/>
  <c r="F55" i="87"/>
  <c r="F59" i="87"/>
  <c r="G55" i="87"/>
  <c r="G59" i="87"/>
  <c r="H55" i="87"/>
  <c r="H59" i="87"/>
  <c r="D53" i="87"/>
  <c r="E49" i="87"/>
  <c r="E53" i="87"/>
  <c r="F49" i="87"/>
  <c r="F53" i="87"/>
  <c r="G49" i="87"/>
  <c r="G53" i="87"/>
  <c r="H49" i="87"/>
  <c r="H53" i="87"/>
  <c r="D47" i="87"/>
  <c r="D41" i="87"/>
  <c r="E37" i="87"/>
  <c r="E41" i="87"/>
  <c r="F37" i="87"/>
  <c r="F41" i="87"/>
  <c r="G37" i="87"/>
  <c r="G41" i="87"/>
  <c r="H37" i="87"/>
  <c r="H41" i="87"/>
  <c r="D35" i="87"/>
  <c r="E31" i="87"/>
  <c r="E35" i="87"/>
  <c r="F31" i="87"/>
  <c r="F35" i="87"/>
  <c r="G31" i="87"/>
  <c r="G35" i="87"/>
  <c r="H31" i="87"/>
  <c r="H35" i="87"/>
  <c r="C4" i="87"/>
  <c r="F36" i="47"/>
  <c r="F37" i="47" s="1"/>
  <c r="C3" i="87"/>
  <c r="B2" i="87"/>
  <c r="H43" i="74"/>
  <c r="G43" i="74"/>
  <c r="D42" i="74"/>
  <c r="E23" i="47"/>
  <c r="F28" i="47"/>
  <c r="F20" i="47"/>
  <c r="E15" i="47"/>
  <c r="H149" i="80"/>
  <c r="H137" i="80"/>
  <c r="F116" i="80"/>
  <c r="E104" i="80"/>
  <c r="E79" i="80"/>
  <c r="B43" i="74"/>
  <c r="D32" i="76"/>
  <c r="E66" i="56" s="1"/>
  <c r="C3" i="84"/>
  <c r="B2" i="84"/>
  <c r="C3" i="66"/>
  <c r="C3" i="47"/>
  <c r="C3" i="59"/>
  <c r="C3" i="34"/>
  <c r="C3" i="63"/>
  <c r="C3" i="55"/>
  <c r="C3" i="6"/>
  <c r="C3" i="16"/>
  <c r="C3" i="45"/>
  <c r="C3" i="57"/>
  <c r="C3" i="56"/>
  <c r="C3" i="76"/>
  <c r="C3" i="5"/>
  <c r="C3" i="44"/>
  <c r="C3" i="82"/>
  <c r="C3" i="69"/>
  <c r="D3" i="4"/>
  <c r="C3" i="74"/>
  <c r="C43" i="47"/>
  <c r="F12" i="47" s="1"/>
  <c r="G12" i="47" s="1"/>
  <c r="C3" i="80"/>
  <c r="B2" i="80"/>
  <c r="B2" i="74"/>
  <c r="B2" i="66"/>
  <c r="B2" i="47"/>
  <c r="B2" i="59"/>
  <c r="B2" i="34"/>
  <c r="B2" i="63"/>
  <c r="B2" i="55"/>
  <c r="B2" i="6"/>
  <c r="B2" i="16"/>
  <c r="B2" i="45"/>
  <c r="B2" i="57"/>
  <c r="B2" i="56"/>
  <c r="B2" i="76"/>
  <c r="B2" i="5"/>
  <c r="B2" i="44"/>
  <c r="B2" i="82"/>
  <c r="B2" i="69"/>
  <c r="C2" i="4"/>
  <c r="D35" i="56"/>
  <c r="Q54" i="34"/>
  <c r="P83" i="34"/>
  <c r="P76" i="34"/>
  <c r="P77" i="34"/>
  <c r="P78" i="34"/>
  <c r="P79" i="34"/>
  <c r="P80" i="34"/>
  <c r="P81" i="34"/>
  <c r="P82" i="34"/>
  <c r="J90" i="56"/>
  <c r="J83" i="56" s="1"/>
  <c r="I78" i="56"/>
  <c r="I77" i="56" s="1"/>
  <c r="J78" i="56"/>
  <c r="J75" i="56" s="1"/>
  <c r="J35" i="56"/>
  <c r="J33" i="56" s="1"/>
  <c r="I35" i="56"/>
  <c r="I29" i="56" s="1"/>
  <c r="I23" i="56"/>
  <c r="I19" i="56" s="1"/>
  <c r="E149" i="80"/>
  <c r="D149" i="80"/>
  <c r="H90" i="56"/>
  <c r="H78" i="56"/>
  <c r="H66" i="56"/>
  <c r="H47" i="56"/>
  <c r="H35" i="56"/>
  <c r="H23" i="56"/>
  <c r="D23" i="56"/>
  <c r="D47" i="56"/>
  <c r="D90" i="56"/>
  <c r="D78" i="56"/>
  <c r="C31" i="80"/>
  <c r="G22" i="76"/>
  <c r="G21" i="76"/>
  <c r="I47" i="56" s="1"/>
  <c r="H21" i="76"/>
  <c r="J47" i="56" s="1"/>
  <c r="I20" i="76"/>
  <c r="I21" i="76"/>
  <c r="I17" i="76"/>
  <c r="I16" i="76"/>
  <c r="I15" i="76"/>
  <c r="I14" i="76"/>
  <c r="I13" i="76"/>
  <c r="I18" i="76" s="1"/>
  <c r="E32" i="76"/>
  <c r="F66" i="56" s="1"/>
  <c r="G32" i="76"/>
  <c r="I66" i="56" s="1"/>
  <c r="H32" i="76"/>
  <c r="H44" i="76" s="1"/>
  <c r="J66" i="56"/>
  <c r="J62" i="56" s="1"/>
  <c r="F17" i="76"/>
  <c r="F16" i="76"/>
  <c r="F13" i="76"/>
  <c r="F26" i="76"/>
  <c r="D96" i="80" s="1"/>
  <c r="D66" i="56"/>
  <c r="I42" i="76"/>
  <c r="I41" i="76"/>
  <c r="I40" i="76"/>
  <c r="I39" i="76"/>
  <c r="I38" i="76"/>
  <c r="I37" i="76"/>
  <c r="I36" i="76"/>
  <c r="I35" i="76"/>
  <c r="I34" i="76"/>
  <c r="I43" i="76" s="1"/>
  <c r="I31" i="76"/>
  <c r="I30" i="76"/>
  <c r="I32" i="76" s="1"/>
  <c r="I29" i="76"/>
  <c r="I28" i="76"/>
  <c r="I27" i="76"/>
  <c r="I26" i="76"/>
  <c r="I25" i="76"/>
  <c r="I24" i="76"/>
  <c r="F25" i="76"/>
  <c r="F27" i="76"/>
  <c r="F28" i="76"/>
  <c r="F29" i="76"/>
  <c r="F30" i="76"/>
  <c r="F31" i="76"/>
  <c r="F24" i="76"/>
  <c r="F32" i="76" s="1"/>
  <c r="H43" i="76"/>
  <c r="G43" i="76"/>
  <c r="I90" i="56" s="1"/>
  <c r="E42" i="74"/>
  <c r="C42" i="74"/>
  <c r="G17" i="59"/>
  <c r="K67" i="34"/>
  <c r="M67" i="34"/>
  <c r="P67" i="34" s="1"/>
  <c r="L57" i="34"/>
  <c r="N57" i="34"/>
  <c r="G36" i="47"/>
  <c r="H36" i="47"/>
  <c r="I36" i="47"/>
  <c r="J36" i="47"/>
  <c r="K36" i="47"/>
  <c r="L36" i="47"/>
  <c r="M36" i="47"/>
  <c r="N36" i="47"/>
  <c r="N37" i="47" s="1"/>
  <c r="O36" i="47"/>
  <c r="P36" i="47"/>
  <c r="Q36" i="47"/>
  <c r="R36" i="47"/>
  <c r="S36" i="47"/>
  <c r="T36" i="47"/>
  <c r="U36" i="47"/>
  <c r="V36" i="47"/>
  <c r="W36" i="47"/>
  <c r="X36" i="47"/>
  <c r="Y36" i="47"/>
  <c r="Z36" i="47"/>
  <c r="Z37" i="47" s="1"/>
  <c r="AA36" i="47"/>
  <c r="AB36" i="47"/>
  <c r="AC36" i="47"/>
  <c r="AD36" i="47"/>
  <c r="AE36" i="47"/>
  <c r="AE37" i="47"/>
  <c r="AF36" i="47"/>
  <c r="AF37" i="47"/>
  <c r="AG36" i="47"/>
  <c r="AH36" i="47"/>
  <c r="AI36" i="47"/>
  <c r="AJ36" i="47"/>
  <c r="AK36" i="47"/>
  <c r="AL36" i="47"/>
  <c r="AM36" i="47"/>
  <c r="AN36" i="47"/>
  <c r="AO36" i="47"/>
  <c r="AO37" i="47"/>
  <c r="AP36" i="47"/>
  <c r="AQ36" i="47"/>
  <c r="AR36" i="47"/>
  <c r="AS36" i="47"/>
  <c r="AS37" i="47"/>
  <c r="AT36" i="47"/>
  <c r="AU36" i="47"/>
  <c r="AV36" i="47"/>
  <c r="AW36" i="47"/>
  <c r="AX36" i="47"/>
  <c r="AY36" i="47"/>
  <c r="AZ36" i="47"/>
  <c r="BA36" i="47"/>
  <c r="BB36" i="47"/>
  <c r="BC36" i="47"/>
  <c r="BD36" i="47"/>
  <c r="BE36" i="47"/>
  <c r="BF36" i="47"/>
  <c r="BG36" i="47"/>
  <c r="BH36" i="47"/>
  <c r="BH28" i="47"/>
  <c r="BG28" i="47"/>
  <c r="BF28" i="47"/>
  <c r="BE28" i="47"/>
  <c r="BD28" i="47"/>
  <c r="BC28" i="47"/>
  <c r="BC29" i="47"/>
  <c r="BB28" i="47"/>
  <c r="BA28" i="47"/>
  <c r="AZ28" i="47"/>
  <c r="AY28" i="47"/>
  <c r="AX28" i="47"/>
  <c r="AW28" i="47"/>
  <c r="AV28" i="47"/>
  <c r="AV29" i="47"/>
  <c r="AU28" i="47"/>
  <c r="AT28" i="47"/>
  <c r="AT37" i="47"/>
  <c r="AS28" i="47"/>
  <c r="AR28" i="47"/>
  <c r="AR37" i="47"/>
  <c r="AQ28" i="47"/>
  <c r="AP28" i="47"/>
  <c r="AO28" i="47"/>
  <c r="AN28" i="47"/>
  <c r="AM28" i="47"/>
  <c r="AL28" i="47"/>
  <c r="AK28" i="47"/>
  <c r="AJ28" i="47"/>
  <c r="AI28" i="47"/>
  <c r="AH28" i="47"/>
  <c r="AH29" i="47"/>
  <c r="AG28" i="47"/>
  <c r="AF28" i="47"/>
  <c r="AE28" i="47"/>
  <c r="AD28" i="47"/>
  <c r="AC28" i="47"/>
  <c r="AB28" i="47"/>
  <c r="AA28" i="47"/>
  <c r="Z28" i="47"/>
  <c r="Y28" i="47"/>
  <c r="X28" i="47"/>
  <c r="X29" i="47" s="1"/>
  <c r="W28" i="47"/>
  <c r="W37" i="47" s="1"/>
  <c r="V28" i="47"/>
  <c r="U28" i="47"/>
  <c r="T28" i="47"/>
  <c r="T29" i="47" s="1"/>
  <c r="S28" i="47"/>
  <c r="S37" i="47" s="1"/>
  <c r="R28" i="47"/>
  <c r="Q28" i="47"/>
  <c r="P28" i="47"/>
  <c r="O28" i="47"/>
  <c r="O29" i="47" s="1"/>
  <c r="N28" i="47"/>
  <c r="M28" i="47"/>
  <c r="L28" i="47"/>
  <c r="K28" i="47"/>
  <c r="J28" i="47"/>
  <c r="J29" i="47" s="1"/>
  <c r="I28" i="47"/>
  <c r="I29" i="47" s="1"/>
  <c r="H28" i="47"/>
  <c r="G28" i="47"/>
  <c r="BH20" i="47"/>
  <c r="BH29" i="47"/>
  <c r="BG20" i="47"/>
  <c r="BF20" i="47"/>
  <c r="BF29" i="47"/>
  <c r="BE20" i="47"/>
  <c r="BD20" i="47"/>
  <c r="BD37" i="47"/>
  <c r="BC20" i="47"/>
  <c r="BC37" i="47"/>
  <c r="BB20" i="47"/>
  <c r="BB37" i="47"/>
  <c r="BA20" i="47"/>
  <c r="BA29" i="47"/>
  <c r="AZ20" i="47"/>
  <c r="AZ37" i="47"/>
  <c r="AY20" i="47"/>
  <c r="AX20" i="47"/>
  <c r="AX29" i="47"/>
  <c r="AW20" i="47"/>
  <c r="AV20" i="47"/>
  <c r="AV37" i="47"/>
  <c r="AU20" i="47"/>
  <c r="AU37" i="47"/>
  <c r="AU29" i="47"/>
  <c r="AT20" i="47"/>
  <c r="AS20" i="47"/>
  <c r="AS29" i="47"/>
  <c r="AR20" i="47"/>
  <c r="AR29" i="47"/>
  <c r="AQ20" i="47"/>
  <c r="AQ29" i="47"/>
  <c r="AP20" i="47"/>
  <c r="AP29" i="47"/>
  <c r="AO20" i="47"/>
  <c r="AO29" i="47"/>
  <c r="AN20" i="47"/>
  <c r="AN37" i="47"/>
  <c r="AM20" i="47"/>
  <c r="AM29" i="47"/>
  <c r="AL20" i="47"/>
  <c r="AK20" i="47"/>
  <c r="AK29" i="47"/>
  <c r="AJ20" i="47"/>
  <c r="AJ29" i="47"/>
  <c r="AI20" i="47"/>
  <c r="AI37" i="47"/>
  <c r="AH20" i="47"/>
  <c r="AG20" i="47"/>
  <c r="AG37" i="47"/>
  <c r="AF20" i="47"/>
  <c r="AF29" i="47"/>
  <c r="AE20" i="47"/>
  <c r="AE29" i="47"/>
  <c r="AD20" i="47"/>
  <c r="AD29" i="47"/>
  <c r="AC20" i="47"/>
  <c r="AC29" i="47"/>
  <c r="AB20" i="47"/>
  <c r="AB37" i="47"/>
  <c r="AB29" i="47"/>
  <c r="AA20" i="47"/>
  <c r="Z20" i="47"/>
  <c r="Y20" i="47"/>
  <c r="X20" i="47"/>
  <c r="W20" i="47"/>
  <c r="V20" i="47"/>
  <c r="U20" i="47"/>
  <c r="T20" i="47"/>
  <c r="S20" i="47"/>
  <c r="R20" i="47"/>
  <c r="Q20" i="47"/>
  <c r="Q37" i="47" s="1"/>
  <c r="P20" i="47"/>
  <c r="P29" i="47" s="1"/>
  <c r="O20" i="47"/>
  <c r="N20" i="47"/>
  <c r="N29" i="47" s="1"/>
  <c r="M20" i="47"/>
  <c r="L20" i="47"/>
  <c r="K20" i="47"/>
  <c r="J20" i="47"/>
  <c r="I20" i="47"/>
  <c r="H20" i="47"/>
  <c r="G20" i="47"/>
  <c r="E34" i="47"/>
  <c r="E27" i="47"/>
  <c r="E19" i="47"/>
  <c r="G37" i="59"/>
  <c r="G38" i="59"/>
  <c r="G39" i="59"/>
  <c r="G40" i="59"/>
  <c r="G41" i="59"/>
  <c r="E26" i="47"/>
  <c r="E25" i="47"/>
  <c r="E24" i="47"/>
  <c r="E22" i="47"/>
  <c r="C35" i="55"/>
  <c r="C23" i="55"/>
  <c r="C28" i="55"/>
  <c r="C18" i="55"/>
  <c r="C17" i="55"/>
  <c r="C16" i="55"/>
  <c r="C15" i="55"/>
  <c r="C14" i="55"/>
  <c r="C13" i="55"/>
  <c r="C12" i="55"/>
  <c r="C11" i="55"/>
  <c r="L19" i="34"/>
  <c r="N19" i="34" s="1"/>
  <c r="Q19" i="34" s="1"/>
  <c r="L20" i="34"/>
  <c r="N20" i="34"/>
  <c r="Q20" i="34"/>
  <c r="L21" i="34"/>
  <c r="N21" i="34"/>
  <c r="Q21" i="34"/>
  <c r="L22" i="34"/>
  <c r="L59" i="34" s="1"/>
  <c r="N22" i="34"/>
  <c r="Q22" i="34" s="1"/>
  <c r="L23" i="34"/>
  <c r="N23" i="34"/>
  <c r="Q23" i="34"/>
  <c r="L24" i="34"/>
  <c r="N24" i="34"/>
  <c r="Q24" i="34"/>
  <c r="L25" i="34"/>
  <c r="N25" i="34"/>
  <c r="Q25" i="34"/>
  <c r="L26" i="34"/>
  <c r="N26" i="34"/>
  <c r="Q26" i="34"/>
  <c r="L27" i="34"/>
  <c r="N27" i="34"/>
  <c r="Q27" i="34"/>
  <c r="L28" i="34"/>
  <c r="N28" i="34"/>
  <c r="Q28" i="34"/>
  <c r="L29" i="34"/>
  <c r="N29" i="34"/>
  <c r="Q29" i="34"/>
  <c r="L30" i="34"/>
  <c r="N30" i="34"/>
  <c r="Q30" i="34"/>
  <c r="L31" i="34"/>
  <c r="N31" i="34"/>
  <c r="Q31" i="34"/>
  <c r="L32" i="34"/>
  <c r="N32" i="34"/>
  <c r="Q32" i="34"/>
  <c r="L33" i="34"/>
  <c r="N33" i="34"/>
  <c r="Q33" i="34"/>
  <c r="L34" i="34"/>
  <c r="N34" i="34"/>
  <c r="Q34" i="34"/>
  <c r="L35" i="34"/>
  <c r="N35" i="34"/>
  <c r="Q35" i="34"/>
  <c r="L36" i="34"/>
  <c r="N36" i="34"/>
  <c r="Q36" i="34"/>
  <c r="L37" i="34"/>
  <c r="N37" i="34"/>
  <c r="Q37" i="34"/>
  <c r="L38" i="34"/>
  <c r="N38" i="34"/>
  <c r="Q38" i="34"/>
  <c r="L39" i="34"/>
  <c r="N39" i="34"/>
  <c r="Q39" i="34"/>
  <c r="L40" i="34"/>
  <c r="N40" i="34"/>
  <c r="Q40" i="34"/>
  <c r="L41" i="34"/>
  <c r="N41" i="34"/>
  <c r="Q41" i="34"/>
  <c r="L42" i="34"/>
  <c r="N42" i="34"/>
  <c r="Q42" i="34"/>
  <c r="L43" i="34"/>
  <c r="N43" i="34"/>
  <c r="Q43" i="34"/>
  <c r="L44" i="34"/>
  <c r="N44" i="34"/>
  <c r="Q44" i="34"/>
  <c r="L45" i="34"/>
  <c r="N45" i="34"/>
  <c r="Q45" i="34"/>
  <c r="L46" i="34"/>
  <c r="N46" i="34"/>
  <c r="Q46" i="34"/>
  <c r="L47" i="34"/>
  <c r="N47" i="34"/>
  <c r="Q47" i="34"/>
  <c r="L48" i="34"/>
  <c r="N48" i="34"/>
  <c r="Q48" i="34"/>
  <c r="L49" i="34"/>
  <c r="N49" i="34"/>
  <c r="Q49" i="34"/>
  <c r="L50" i="34"/>
  <c r="N50" i="34"/>
  <c r="Q50" i="34"/>
  <c r="L51" i="34"/>
  <c r="N51" i="34"/>
  <c r="Q51" i="34"/>
  <c r="E17" i="47"/>
  <c r="K68" i="34"/>
  <c r="M68" i="34" s="1"/>
  <c r="P68" i="34" s="1"/>
  <c r="K69" i="34"/>
  <c r="M69" i="34"/>
  <c r="P69" i="34" s="1"/>
  <c r="K70" i="34"/>
  <c r="M70" i="34"/>
  <c r="P70" i="34" s="1"/>
  <c r="K71" i="34"/>
  <c r="K84" i="34" s="1"/>
  <c r="K72" i="34"/>
  <c r="M72" i="34"/>
  <c r="P72" i="34" s="1"/>
  <c r="K73" i="34"/>
  <c r="M73" i="34"/>
  <c r="P73" i="34" s="1"/>
  <c r="K74" i="34"/>
  <c r="M74" i="34" s="1"/>
  <c r="P74" i="34" s="1"/>
  <c r="K75" i="34"/>
  <c r="M75" i="34" s="1"/>
  <c r="P75" i="34" s="1"/>
  <c r="K76" i="34"/>
  <c r="M76" i="34"/>
  <c r="K77" i="34"/>
  <c r="M77" i="34"/>
  <c r="K78" i="34"/>
  <c r="M78" i="34"/>
  <c r="K79" i="34"/>
  <c r="M79" i="34"/>
  <c r="K80" i="34"/>
  <c r="M80" i="34"/>
  <c r="K81" i="34"/>
  <c r="M81" i="34"/>
  <c r="K82" i="34"/>
  <c r="M82" i="34"/>
  <c r="L17" i="34"/>
  <c r="N17" i="34"/>
  <c r="Q17" i="34"/>
  <c r="L18" i="34"/>
  <c r="N18" i="34"/>
  <c r="Q18" i="34"/>
  <c r="L52" i="34"/>
  <c r="N52" i="34"/>
  <c r="Q52" i="34"/>
  <c r="L53" i="34"/>
  <c r="N53" i="34"/>
  <c r="Q53" i="34"/>
  <c r="L54" i="34"/>
  <c r="N54" i="34"/>
  <c r="G45" i="59"/>
  <c r="G44" i="59"/>
  <c r="G43" i="59"/>
  <c r="G42" i="59"/>
  <c r="G36" i="59"/>
  <c r="G35" i="59"/>
  <c r="G34" i="59"/>
  <c r="G33" i="59"/>
  <c r="G32" i="59"/>
  <c r="G31" i="59"/>
  <c r="G30" i="59"/>
  <c r="G29" i="59"/>
  <c r="G28" i="59"/>
  <c r="G27" i="59"/>
  <c r="G26" i="59"/>
  <c r="G25" i="59"/>
  <c r="G24" i="59"/>
  <c r="G23" i="59"/>
  <c r="G22" i="59"/>
  <c r="G21" i="59"/>
  <c r="G20" i="59"/>
  <c r="G19" i="59"/>
  <c r="G18" i="59"/>
  <c r="G16" i="59"/>
  <c r="G47" i="59"/>
  <c r="E31" i="47"/>
  <c r="E32" i="47"/>
  <c r="E33" i="47"/>
  <c r="E35" i="47"/>
  <c r="G19" i="45"/>
  <c r="I19" i="45" s="1"/>
  <c r="G20" i="45"/>
  <c r="G21" i="45"/>
  <c r="G22" i="45"/>
  <c r="G23" i="45"/>
  <c r="I23" i="45" s="1"/>
  <c r="G24" i="45"/>
  <c r="I24" i="45" s="1"/>
  <c r="G25" i="45"/>
  <c r="G26" i="45"/>
  <c r="I26" i="45" s="1"/>
  <c r="G27" i="45"/>
  <c r="G28" i="45"/>
  <c r="I28" i="45" s="1"/>
  <c r="G29" i="45"/>
  <c r="G30" i="45"/>
  <c r="G31" i="45"/>
  <c r="G32" i="45"/>
  <c r="G33" i="45"/>
  <c r="G34" i="45"/>
  <c r="G35" i="45"/>
  <c r="G36" i="45"/>
  <c r="G37" i="45"/>
  <c r="I37" i="45" s="1"/>
  <c r="G38" i="45"/>
  <c r="I38" i="45" s="1"/>
  <c r="G39" i="45"/>
  <c r="G40" i="45"/>
  <c r="I40" i="45" s="1"/>
  <c r="G41" i="45"/>
  <c r="E16" i="47"/>
  <c r="E18" i="47"/>
  <c r="K83" i="34"/>
  <c r="M83" i="34"/>
  <c r="L55" i="34"/>
  <c r="N55" i="34"/>
  <c r="Q55" i="34"/>
  <c r="L56" i="34"/>
  <c r="N56" i="34"/>
  <c r="Q56" i="34"/>
  <c r="L58" i="34"/>
  <c r="N58" i="34"/>
  <c r="Q58" i="34"/>
  <c r="AY29" i="47"/>
  <c r="G44" i="76"/>
  <c r="D15" i="76"/>
  <c r="F15" i="76"/>
  <c r="N16" i="34"/>
  <c r="Q16" i="34" s="1"/>
  <c r="D104" i="80"/>
  <c r="G104" i="80" s="1"/>
  <c r="F64" i="80" s="1"/>
  <c r="D92" i="80"/>
  <c r="J17" i="56"/>
  <c r="E14" i="76"/>
  <c r="F35" i="56"/>
  <c r="F33" i="56" s="1"/>
  <c r="F25" i="56"/>
  <c r="E18" i="76"/>
  <c r="F23" i="56"/>
  <c r="F20" i="56" s="1"/>
  <c r="F14" i="56"/>
  <c r="F13" i="56"/>
  <c r="F22" i="56"/>
  <c r="F21" i="56"/>
  <c r="F17" i="56"/>
  <c r="AN29" i="47"/>
  <c r="AD37" i="47"/>
  <c r="BG37" i="47"/>
  <c r="AW37" i="47"/>
  <c r="BH37" i="47"/>
  <c r="AH37" i="47"/>
  <c r="BF37" i="47"/>
  <c r="AM37" i="47"/>
  <c r="AY37" i="47"/>
  <c r="BA37" i="47"/>
  <c r="AL37" i="47"/>
  <c r="AK37" i="47"/>
  <c r="AQ37" i="47"/>
  <c r="AC37" i="47"/>
  <c r="AJ37" i="47"/>
  <c r="AT29" i="47"/>
  <c r="BE29" i="47"/>
  <c r="I44" i="74"/>
  <c r="BD29" i="47"/>
  <c r="AZ29" i="47"/>
  <c r="BE37" i="47"/>
  <c r="AI29" i="47"/>
  <c r="AX37" i="47"/>
  <c r="F29" i="47"/>
  <c r="AP37" i="47"/>
  <c r="BB29" i="47"/>
  <c r="AL29" i="47"/>
  <c r="BG29" i="47"/>
  <c r="AG29" i="47"/>
  <c r="AW29" i="47"/>
  <c r="E80" i="87"/>
  <c r="E84" i="87"/>
  <c r="E94" i="87"/>
  <c r="F80" i="87"/>
  <c r="F84" i="87"/>
  <c r="G80" i="87"/>
  <c r="G84" i="87"/>
  <c r="F94" i="87"/>
  <c r="G94" i="87"/>
  <c r="H80" i="87"/>
  <c r="H84" i="87"/>
  <c r="H94" i="87"/>
  <c r="E18" i="87"/>
  <c r="E20" i="87"/>
  <c r="E23" i="87"/>
  <c r="D78" i="87"/>
  <c r="D95" i="87"/>
  <c r="E78" i="87"/>
  <c r="E95" i="87"/>
  <c r="F18" i="87"/>
  <c r="F20" i="87"/>
  <c r="F23" i="87"/>
  <c r="G18" i="87"/>
  <c r="G20" i="87"/>
  <c r="G23" i="87"/>
  <c r="F78" i="87"/>
  <c r="F95" i="87"/>
  <c r="H18" i="87"/>
  <c r="H20" i="87"/>
  <c r="H23" i="87"/>
  <c r="H78" i="87"/>
  <c r="H95" i="87"/>
  <c r="C23" i="69"/>
  <c r="G78" i="87"/>
  <c r="G95" i="87"/>
  <c r="I29" i="45" l="1"/>
  <c r="I39" i="45"/>
  <c r="I22" i="45"/>
  <c r="I20" i="45"/>
  <c r="F41" i="76"/>
  <c r="F40" i="76"/>
  <c r="I34" i="45"/>
  <c r="I32" i="45"/>
  <c r="I31" i="45"/>
  <c r="I21" i="45"/>
  <c r="I30" i="45"/>
  <c r="I36" i="45"/>
  <c r="I33" i="45"/>
  <c r="I25" i="45"/>
  <c r="S29" i="47"/>
  <c r="V29" i="47"/>
  <c r="E20" i="47"/>
  <c r="I16" i="45"/>
  <c r="E36" i="47"/>
  <c r="R37" i="47"/>
  <c r="W29" i="47"/>
  <c r="T37" i="47"/>
  <c r="X37" i="47"/>
  <c r="L29" i="47"/>
  <c r="Z29" i="47"/>
  <c r="O37" i="47"/>
  <c r="G37" i="47"/>
  <c r="U29" i="47"/>
  <c r="H37" i="47"/>
  <c r="J37" i="47"/>
  <c r="K29" i="47"/>
  <c r="R29" i="47"/>
  <c r="Q29" i="47"/>
  <c r="I36" i="16"/>
  <c r="J18" i="16"/>
  <c r="J19" i="16"/>
  <c r="J20" i="16"/>
  <c r="D36" i="76"/>
  <c r="F36" i="76" s="1"/>
  <c r="D110" i="80"/>
  <c r="G42" i="45"/>
  <c r="E45" i="56" s="1"/>
  <c r="F34" i="56"/>
  <c r="I30" i="56"/>
  <c r="K30" i="56" s="1"/>
  <c r="J34" i="56"/>
  <c r="J84" i="56"/>
  <c r="I34" i="56"/>
  <c r="K34" i="56" s="1"/>
  <c r="J88" i="56"/>
  <c r="J13" i="56"/>
  <c r="J14" i="56"/>
  <c r="J25" i="56"/>
  <c r="J89" i="56"/>
  <c r="I31" i="56"/>
  <c r="K31" i="56" s="1"/>
  <c r="I33" i="56"/>
  <c r="K33" i="56" s="1"/>
  <c r="F28" i="56"/>
  <c r="J15" i="56"/>
  <c r="J26" i="56"/>
  <c r="F26" i="56"/>
  <c r="J16" i="56"/>
  <c r="J27" i="56"/>
  <c r="J69" i="56"/>
  <c r="J28" i="56"/>
  <c r="F27" i="56"/>
  <c r="I25" i="56"/>
  <c r="J29" i="56"/>
  <c r="K29" i="56" s="1"/>
  <c r="J77" i="56"/>
  <c r="K77" i="56" s="1"/>
  <c r="F18" i="56"/>
  <c r="F30" i="56"/>
  <c r="J19" i="56"/>
  <c r="K19" i="56" s="1"/>
  <c r="I26" i="56"/>
  <c r="K26" i="56" s="1"/>
  <c r="J30" i="56"/>
  <c r="J80" i="56"/>
  <c r="I32" i="56"/>
  <c r="K32" i="56" s="1"/>
  <c r="F29" i="56"/>
  <c r="F15" i="56"/>
  <c r="I27" i="56"/>
  <c r="K27" i="56" s="1"/>
  <c r="J31" i="56"/>
  <c r="J81" i="56"/>
  <c r="F16" i="56"/>
  <c r="J20" i="56"/>
  <c r="F19" i="56"/>
  <c r="F32" i="56"/>
  <c r="J21" i="56"/>
  <c r="I28" i="56"/>
  <c r="J32" i="56"/>
  <c r="J82" i="56"/>
  <c r="J70" i="56"/>
  <c r="J18" i="56"/>
  <c r="F31" i="56"/>
  <c r="E17" i="57"/>
  <c r="H42" i="45"/>
  <c r="F38" i="56" s="1"/>
  <c r="D18" i="76"/>
  <c r="E23" i="56" s="1"/>
  <c r="E21" i="56" s="1"/>
  <c r="G21" i="56" s="1"/>
  <c r="E35" i="56"/>
  <c r="E34" i="56" s="1"/>
  <c r="G34" i="56" s="1"/>
  <c r="E20" i="76"/>
  <c r="E21" i="76" s="1"/>
  <c r="F47" i="56" s="1"/>
  <c r="F48" i="56" s="1"/>
  <c r="F43" i="56"/>
  <c r="F39" i="56"/>
  <c r="F39" i="76"/>
  <c r="F35" i="76"/>
  <c r="K37" i="47"/>
  <c r="L37" i="47"/>
  <c r="Y37" i="47"/>
  <c r="M37" i="47"/>
  <c r="AA37" i="47"/>
  <c r="G38" i="47"/>
  <c r="I37" i="47"/>
  <c r="G29" i="47"/>
  <c r="H38" i="47" s="1"/>
  <c r="U37" i="47"/>
  <c r="V37" i="47"/>
  <c r="E28" i="47"/>
  <c r="E29" i="47" s="1"/>
  <c r="C26" i="69" s="1"/>
  <c r="H29" i="47"/>
  <c r="I38" i="47" s="1"/>
  <c r="J38" i="47" s="1"/>
  <c r="K38" i="47" s="1"/>
  <c r="M29" i="47"/>
  <c r="P37" i="47"/>
  <c r="AA29" i="47"/>
  <c r="Y29" i="47"/>
  <c r="D120" i="6"/>
  <c r="M71" i="34"/>
  <c r="P71" i="34" s="1"/>
  <c r="P84" i="34" s="1"/>
  <c r="D124" i="6"/>
  <c r="D96" i="6"/>
  <c r="N59" i="34"/>
  <c r="Q15" i="34"/>
  <c r="Q59" i="34" s="1"/>
  <c r="D57" i="6"/>
  <c r="D65" i="6"/>
  <c r="D73" i="6"/>
  <c r="D88" i="6"/>
  <c r="D80" i="6"/>
  <c r="E125" i="6"/>
  <c r="H36" i="16"/>
  <c r="D42" i="76"/>
  <c r="F42" i="76" s="1"/>
  <c r="J23" i="16"/>
  <c r="J25" i="16"/>
  <c r="F38" i="76"/>
  <c r="F78" i="56"/>
  <c r="F75" i="56" s="1"/>
  <c r="F37" i="76"/>
  <c r="F34" i="76"/>
  <c r="E43" i="76"/>
  <c r="J15" i="16"/>
  <c r="E74" i="56"/>
  <c r="E75" i="56"/>
  <c r="E68" i="56"/>
  <c r="I15" i="45"/>
  <c r="F14" i="76"/>
  <c r="F18" i="76" s="1"/>
  <c r="C10" i="69" s="1"/>
  <c r="D79" i="80"/>
  <c r="G79" i="80" s="1"/>
  <c r="D64" i="80" s="1"/>
  <c r="D80" i="80"/>
  <c r="G80" i="80" s="1"/>
  <c r="D65" i="80" s="1"/>
  <c r="D81" i="80"/>
  <c r="G81" i="80" s="1"/>
  <c r="D66" i="80" s="1"/>
  <c r="C13" i="69"/>
  <c r="D82" i="80"/>
  <c r="G82" i="80" s="1"/>
  <c r="D67" i="80" s="1"/>
  <c r="D85" i="80"/>
  <c r="G85" i="80" s="1"/>
  <c r="D70" i="80" s="1"/>
  <c r="D83" i="80"/>
  <c r="G83" i="80" s="1"/>
  <c r="D68" i="80" s="1"/>
  <c r="D86" i="80"/>
  <c r="G86" i="80" s="1"/>
  <c r="D71" i="80" s="1"/>
  <c r="D84" i="80"/>
  <c r="G84" i="80" s="1"/>
  <c r="D69" i="80" s="1"/>
  <c r="D87" i="80"/>
  <c r="G87" i="80" s="1"/>
  <c r="D72" i="80" s="1"/>
  <c r="D88" i="80"/>
  <c r="G88" i="80" s="1"/>
  <c r="D73" i="80" s="1"/>
  <c r="F61" i="56"/>
  <c r="F63" i="56"/>
  <c r="F62" i="56"/>
  <c r="F60" i="56"/>
  <c r="F59" i="56"/>
  <c r="F58" i="56"/>
  <c r="F57" i="56"/>
  <c r="F56" i="56"/>
  <c r="F65" i="56"/>
  <c r="F64" i="56"/>
  <c r="E57" i="56"/>
  <c r="G57" i="56" s="1"/>
  <c r="E63" i="56"/>
  <c r="E62" i="56"/>
  <c r="E60" i="56"/>
  <c r="E58" i="56"/>
  <c r="E56" i="56"/>
  <c r="E64" i="56"/>
  <c r="E65" i="56"/>
  <c r="E61" i="56"/>
  <c r="E59" i="56"/>
  <c r="D109" i="80"/>
  <c r="G109" i="80" s="1"/>
  <c r="F69" i="80" s="1"/>
  <c r="E77" i="56"/>
  <c r="D101" i="80"/>
  <c r="D108" i="80"/>
  <c r="G108" i="80" s="1"/>
  <c r="F68" i="80" s="1"/>
  <c r="E73" i="56"/>
  <c r="D100" i="80"/>
  <c r="D107" i="80"/>
  <c r="G107" i="80" s="1"/>
  <c r="F67" i="80" s="1"/>
  <c r="D99" i="80"/>
  <c r="D106" i="80"/>
  <c r="G106" i="80" s="1"/>
  <c r="F66" i="80" s="1"/>
  <c r="E72" i="56"/>
  <c r="E69" i="56"/>
  <c r="D98" i="80"/>
  <c r="D105" i="80"/>
  <c r="G105" i="80" s="1"/>
  <c r="F65" i="80" s="1"/>
  <c r="D97" i="80"/>
  <c r="G113" i="80"/>
  <c r="F73" i="80" s="1"/>
  <c r="E70" i="56"/>
  <c r="E76" i="56"/>
  <c r="G112" i="80"/>
  <c r="F72" i="80" s="1"/>
  <c r="I87" i="56"/>
  <c r="K87" i="56" s="1"/>
  <c r="I82" i="56"/>
  <c r="K82" i="56" s="1"/>
  <c r="I86" i="56"/>
  <c r="K86" i="56" s="1"/>
  <c r="I85" i="56"/>
  <c r="K85" i="56" s="1"/>
  <c r="I84" i="56"/>
  <c r="K84" i="56" s="1"/>
  <c r="I81" i="56"/>
  <c r="I83" i="56"/>
  <c r="K83" i="56" s="1"/>
  <c r="I88" i="56"/>
  <c r="I80" i="56"/>
  <c r="K80" i="56" s="1"/>
  <c r="I89" i="56"/>
  <c r="I44" i="76"/>
  <c r="I64" i="56"/>
  <c r="I56" i="56"/>
  <c r="I63" i="56"/>
  <c r="I62" i="56"/>
  <c r="K62" i="56" s="1"/>
  <c r="I58" i="56"/>
  <c r="K58" i="56" s="1"/>
  <c r="I61" i="56"/>
  <c r="I60" i="56"/>
  <c r="I65" i="56"/>
  <c r="I57" i="56"/>
  <c r="I59" i="56"/>
  <c r="I71" i="56"/>
  <c r="J57" i="56"/>
  <c r="J63" i="56"/>
  <c r="I70" i="56"/>
  <c r="J68" i="56"/>
  <c r="J76" i="56"/>
  <c r="J58" i="56"/>
  <c r="I73" i="56"/>
  <c r="J71" i="56"/>
  <c r="J59" i="56"/>
  <c r="I74" i="56"/>
  <c r="J72" i="56"/>
  <c r="J60" i="56"/>
  <c r="I75" i="56"/>
  <c r="K75" i="56" s="1"/>
  <c r="J73" i="56"/>
  <c r="J91" i="56"/>
  <c r="J65" i="56"/>
  <c r="G45" i="76"/>
  <c r="J61" i="56"/>
  <c r="I68" i="56"/>
  <c r="I76" i="56"/>
  <c r="J74" i="56"/>
  <c r="I91" i="56"/>
  <c r="J56" i="56"/>
  <c r="J64" i="56"/>
  <c r="I72" i="56"/>
  <c r="I69" i="56"/>
  <c r="J48" i="56"/>
  <c r="J39" i="56"/>
  <c r="J46" i="56"/>
  <c r="J38" i="56"/>
  <c r="J45" i="56"/>
  <c r="J37" i="56"/>
  <c r="J44" i="56"/>
  <c r="J42" i="56"/>
  <c r="J43" i="56"/>
  <c r="J41" i="56"/>
  <c r="J40" i="56"/>
  <c r="I22" i="76"/>
  <c r="I45" i="76" s="1"/>
  <c r="H22" i="76"/>
  <c r="H45" i="76" s="1"/>
  <c r="I44" i="56"/>
  <c r="I38" i="56"/>
  <c r="I43" i="56"/>
  <c r="K43" i="56" s="1"/>
  <c r="I42" i="56"/>
  <c r="I46" i="56"/>
  <c r="I41" i="56"/>
  <c r="I39" i="56"/>
  <c r="I40" i="56"/>
  <c r="I45" i="56"/>
  <c r="K45" i="56" s="1"/>
  <c r="I37" i="56"/>
  <c r="I15" i="56"/>
  <c r="K15" i="56" s="1"/>
  <c r="I20" i="56"/>
  <c r="I13" i="56"/>
  <c r="K13" i="56" s="1"/>
  <c r="I21" i="56"/>
  <c r="I14" i="56"/>
  <c r="K14" i="56" s="1"/>
  <c r="I22" i="56"/>
  <c r="K22" i="56" s="1"/>
  <c r="I16" i="56"/>
  <c r="K16" i="56" s="1"/>
  <c r="I17" i="56"/>
  <c r="K17" i="56" s="1"/>
  <c r="I18" i="56"/>
  <c r="K18" i="56" s="1"/>
  <c r="I48" i="56"/>
  <c r="C129" i="80"/>
  <c r="H12" i="47"/>
  <c r="I12" i="47" s="1"/>
  <c r="J12" i="47" s="1"/>
  <c r="K12" i="47" s="1"/>
  <c r="L12" i="47" s="1"/>
  <c r="M12" i="47" s="1"/>
  <c r="N12" i="47" s="1"/>
  <c r="O12" i="47" s="1"/>
  <c r="P12" i="47" s="1"/>
  <c r="Q12" i="47" s="1"/>
  <c r="R12" i="47" s="1"/>
  <c r="S12" i="47" s="1"/>
  <c r="T12" i="47" s="1"/>
  <c r="U12" i="47" s="1"/>
  <c r="V12" i="47" s="1"/>
  <c r="W12" i="47" s="1"/>
  <c r="X12" i="47" s="1"/>
  <c r="Y12" i="47" s="1"/>
  <c r="Z12" i="47" s="1"/>
  <c r="AA12" i="47" s="1"/>
  <c r="AB12" i="47" s="1"/>
  <c r="AC12" i="47" s="1"/>
  <c r="AD12" i="47" s="1"/>
  <c r="AE12" i="47" s="1"/>
  <c r="AF12" i="47" s="1"/>
  <c r="AG12" i="47" s="1"/>
  <c r="AH12" i="47" s="1"/>
  <c r="AI12" i="47" s="1"/>
  <c r="AJ12" i="47" s="1"/>
  <c r="AK12" i="47" s="1"/>
  <c r="AL12" i="47" s="1"/>
  <c r="AM12" i="47" s="1"/>
  <c r="AN12" i="47" s="1"/>
  <c r="AO12" i="47" s="1"/>
  <c r="AP12" i="47" s="1"/>
  <c r="AQ12" i="47" s="1"/>
  <c r="AR12" i="47" s="1"/>
  <c r="AS12" i="47" s="1"/>
  <c r="AT12" i="47" s="1"/>
  <c r="AU12" i="47" s="1"/>
  <c r="AV12" i="47" s="1"/>
  <c r="AW12" i="47" s="1"/>
  <c r="AX12" i="47" s="1"/>
  <c r="AY12" i="47" s="1"/>
  <c r="AZ12" i="47" s="1"/>
  <c r="BA12" i="47" s="1"/>
  <c r="BB12" i="47" s="1"/>
  <c r="BC12" i="47" s="1"/>
  <c r="BD12" i="47" s="1"/>
  <c r="BE12" i="47" s="1"/>
  <c r="BF12" i="47" s="1"/>
  <c r="BG12" i="47" s="1"/>
  <c r="BH12" i="47" s="1"/>
  <c r="G110" i="80"/>
  <c r="F70" i="80" s="1"/>
  <c r="B44" i="74"/>
  <c r="G44" i="74"/>
  <c r="H44" i="74"/>
  <c r="D25" i="6"/>
  <c r="E37" i="56" l="1"/>
  <c r="D20" i="76"/>
  <c r="E42" i="56"/>
  <c r="I42" i="45"/>
  <c r="E41" i="56"/>
  <c r="E38" i="56"/>
  <c r="G38" i="56" s="1"/>
  <c r="E44" i="56"/>
  <c r="E43" i="56"/>
  <c r="E40" i="56"/>
  <c r="F41" i="56"/>
  <c r="G41" i="56" s="1"/>
  <c r="E39" i="56"/>
  <c r="G39" i="56" s="1"/>
  <c r="E46" i="56"/>
  <c r="K37" i="56"/>
  <c r="L38" i="47"/>
  <c r="M38" i="47" s="1"/>
  <c r="N38" i="47" s="1"/>
  <c r="O38" i="47" s="1"/>
  <c r="P38" i="47" s="1"/>
  <c r="Q38" i="47" s="1"/>
  <c r="R38" i="47" s="1"/>
  <c r="S38" i="47" s="1"/>
  <c r="T38" i="47" s="1"/>
  <c r="U38" i="47" s="1"/>
  <c r="V38" i="47" s="1"/>
  <c r="W38" i="47" s="1"/>
  <c r="X38" i="47" s="1"/>
  <c r="Y38" i="47" s="1"/>
  <c r="Z38" i="47" s="1"/>
  <c r="AA38" i="47" s="1"/>
  <c r="AB38" i="47" s="1"/>
  <c r="AC38" i="47" s="1"/>
  <c r="AD38" i="47" s="1"/>
  <c r="AE38" i="47" s="1"/>
  <c r="AF38" i="47" s="1"/>
  <c r="AG38" i="47" s="1"/>
  <c r="AH38" i="47" s="1"/>
  <c r="AI38" i="47" s="1"/>
  <c r="AJ38" i="47" s="1"/>
  <c r="AK38" i="47" s="1"/>
  <c r="AL38" i="47" s="1"/>
  <c r="AM38" i="47" s="1"/>
  <c r="AN38" i="47" s="1"/>
  <c r="AO38" i="47" s="1"/>
  <c r="AP38" i="47" s="1"/>
  <c r="AQ38" i="47" s="1"/>
  <c r="AR38" i="47" s="1"/>
  <c r="AS38" i="47" s="1"/>
  <c r="AT38" i="47" s="1"/>
  <c r="AU38" i="47" s="1"/>
  <c r="AV38" i="47" s="1"/>
  <c r="AW38" i="47" s="1"/>
  <c r="AX38" i="47" s="1"/>
  <c r="AY38" i="47" s="1"/>
  <c r="AZ38" i="47" s="1"/>
  <c r="BA38" i="47" s="1"/>
  <c r="BB38" i="47" s="1"/>
  <c r="BC38" i="47" s="1"/>
  <c r="BD38" i="47" s="1"/>
  <c r="BE38" i="47" s="1"/>
  <c r="BF38" i="47" s="1"/>
  <c r="BG38" i="47" s="1"/>
  <c r="BH38" i="47" s="1"/>
  <c r="E37" i="47"/>
  <c r="C124" i="80" s="1"/>
  <c r="D43" i="76"/>
  <c r="E90" i="56" s="1"/>
  <c r="G75" i="56"/>
  <c r="F74" i="56"/>
  <c r="K88" i="56"/>
  <c r="K89" i="56"/>
  <c r="K81" i="56"/>
  <c r="K69" i="56"/>
  <c r="E33" i="56"/>
  <c r="G33" i="56" s="1"/>
  <c r="E27" i="56"/>
  <c r="G27" i="56" s="1"/>
  <c r="F37" i="56"/>
  <c r="G37" i="56" s="1"/>
  <c r="F44" i="56"/>
  <c r="F45" i="56"/>
  <c r="G45" i="56" s="1"/>
  <c r="D20" i="5" s="1"/>
  <c r="F46" i="56"/>
  <c r="F40" i="56"/>
  <c r="F42" i="56"/>
  <c r="K21" i="56"/>
  <c r="K23" i="56" s="1"/>
  <c r="F77" i="56"/>
  <c r="G77" i="56" s="1"/>
  <c r="K25" i="56"/>
  <c r="G56" i="56"/>
  <c r="F68" i="56"/>
  <c r="G68" i="56" s="1"/>
  <c r="F72" i="56"/>
  <c r="G72" i="56" s="1"/>
  <c r="G43" i="56"/>
  <c r="K38" i="56"/>
  <c r="K20" i="56"/>
  <c r="G58" i="56"/>
  <c r="E26" i="56"/>
  <c r="G26" i="56" s="1"/>
  <c r="K40" i="56"/>
  <c r="E25" i="56"/>
  <c r="G25" i="56" s="1"/>
  <c r="K39" i="56"/>
  <c r="E32" i="56"/>
  <c r="G32" i="56" s="1"/>
  <c r="K41" i="56"/>
  <c r="K70" i="56"/>
  <c r="E31" i="56"/>
  <c r="G31" i="56" s="1"/>
  <c r="K28" i="56"/>
  <c r="E22" i="76"/>
  <c r="E30" i="56"/>
  <c r="G30" i="56" s="1"/>
  <c r="E28" i="56"/>
  <c r="G28" i="56" s="1"/>
  <c r="E29" i="56"/>
  <c r="G29" i="56" s="1"/>
  <c r="E16" i="56"/>
  <c r="G16" i="56" s="1"/>
  <c r="E17" i="56"/>
  <c r="G17" i="56" s="1"/>
  <c r="E15" i="56"/>
  <c r="G15" i="56" s="1"/>
  <c r="J36" i="16"/>
  <c r="E14" i="56"/>
  <c r="G14" i="56" s="1"/>
  <c r="E13" i="56"/>
  <c r="G13" i="56" s="1"/>
  <c r="E22" i="56"/>
  <c r="G22" i="56" s="1"/>
  <c r="E20" i="56"/>
  <c r="G20" i="56" s="1"/>
  <c r="E18" i="56"/>
  <c r="G18" i="56" s="1"/>
  <c r="E19" i="56"/>
  <c r="G19" i="56" s="1"/>
  <c r="M84" i="34"/>
  <c r="G74" i="56"/>
  <c r="F76" i="56"/>
  <c r="G76" i="56" s="1"/>
  <c r="F73" i="56"/>
  <c r="G73" i="56" s="1"/>
  <c r="F71" i="56"/>
  <c r="G71" i="56" s="1"/>
  <c r="E44" i="76"/>
  <c r="F90" i="56"/>
  <c r="F43" i="76"/>
  <c r="C104" i="80"/>
  <c r="F104" i="80" s="1"/>
  <c r="E64" i="80" s="1"/>
  <c r="C108" i="80"/>
  <c r="F108" i="80" s="1"/>
  <c r="E68" i="80" s="1"/>
  <c r="C112" i="80"/>
  <c r="F112" i="80" s="1"/>
  <c r="E72" i="80" s="1"/>
  <c r="C113" i="80"/>
  <c r="F113" i="80" s="1"/>
  <c r="E73" i="80" s="1"/>
  <c r="C110" i="80"/>
  <c r="F110" i="80" s="1"/>
  <c r="E70" i="80" s="1"/>
  <c r="C111" i="80"/>
  <c r="F111" i="80" s="1"/>
  <c r="E71" i="80" s="1"/>
  <c r="C106" i="80"/>
  <c r="F106" i="80" s="1"/>
  <c r="E66" i="80" s="1"/>
  <c r="C109" i="80"/>
  <c r="F109" i="80" s="1"/>
  <c r="E69" i="80" s="1"/>
  <c r="C105" i="80"/>
  <c r="F105" i="80" s="1"/>
  <c r="E65" i="80" s="1"/>
  <c r="C107" i="80"/>
  <c r="F107" i="80" s="1"/>
  <c r="E67" i="80" s="1"/>
  <c r="F69" i="56"/>
  <c r="G69" i="56" s="1"/>
  <c r="F70" i="56"/>
  <c r="G70" i="56" s="1"/>
  <c r="K73" i="56"/>
  <c r="K65" i="56"/>
  <c r="G65" i="56"/>
  <c r="G64" i="56"/>
  <c r="D21" i="76"/>
  <c r="F20" i="76"/>
  <c r="F21" i="76" s="1"/>
  <c r="C11" i="69" s="1"/>
  <c r="G63" i="56"/>
  <c r="G60" i="56"/>
  <c r="G62" i="56"/>
  <c r="G59" i="56"/>
  <c r="G61" i="56"/>
  <c r="K90" i="56"/>
  <c r="K76" i="56"/>
  <c r="K68" i="56"/>
  <c r="K61" i="56"/>
  <c r="K74" i="56"/>
  <c r="K60" i="56"/>
  <c r="K72" i="56"/>
  <c r="K71" i="56"/>
  <c r="K63" i="56"/>
  <c r="K59" i="56"/>
  <c r="K56" i="56"/>
  <c r="K57" i="56"/>
  <c r="K64" i="56"/>
  <c r="K44" i="56"/>
  <c r="K46" i="56"/>
  <c r="K42" i="56"/>
  <c r="D145" i="80"/>
  <c r="D146" i="80"/>
  <c r="D140" i="80"/>
  <c r="C130" i="80"/>
  <c r="C131" i="80" s="1"/>
  <c r="C132" i="80" s="1"/>
  <c r="C133" i="80" s="1"/>
  <c r="D144" i="80"/>
  <c r="D142" i="80"/>
  <c r="D143" i="80"/>
  <c r="D139" i="80"/>
  <c r="D138" i="80"/>
  <c r="D137" i="80"/>
  <c r="D141" i="80"/>
  <c r="I45" i="74"/>
  <c r="G45" i="74"/>
  <c r="B45" i="74"/>
  <c r="H45" i="74"/>
  <c r="C99" i="80"/>
  <c r="C95" i="80"/>
  <c r="C100" i="80"/>
  <c r="C96" i="80"/>
  <c r="C92" i="80"/>
  <c r="C94" i="80"/>
  <c r="C101" i="80"/>
  <c r="C97" i="80"/>
  <c r="C93" i="80"/>
  <c r="C98" i="80"/>
  <c r="D103" i="6"/>
  <c r="D125" i="6" s="1"/>
  <c r="C20" i="69" s="1"/>
  <c r="G42" i="56" l="1"/>
  <c r="G40" i="56"/>
  <c r="G44" i="56"/>
  <c r="G46" i="56"/>
  <c r="D21" i="5" s="1"/>
  <c r="D15" i="5"/>
  <c r="D44" i="76"/>
  <c r="C117" i="80"/>
  <c r="C120" i="80"/>
  <c r="C123" i="80"/>
  <c r="C121" i="80"/>
  <c r="D16" i="5"/>
  <c r="D18" i="5"/>
  <c r="D19" i="5"/>
  <c r="K35" i="56"/>
  <c r="C118" i="80"/>
  <c r="C116" i="80"/>
  <c r="C122" i="80"/>
  <c r="C119" i="80"/>
  <c r="C125" i="80"/>
  <c r="G35" i="56"/>
  <c r="D14" i="5"/>
  <c r="E45" i="76"/>
  <c r="K47" i="56"/>
  <c r="K48" i="56" s="1"/>
  <c r="G23" i="56"/>
  <c r="D17" i="5"/>
  <c r="G47" i="56"/>
  <c r="D13" i="5"/>
  <c r="F22" i="76"/>
  <c r="C12" i="69" s="1"/>
  <c r="D12" i="5"/>
  <c r="G78" i="56"/>
  <c r="C14" i="69"/>
  <c r="C80" i="80"/>
  <c r="F80" i="80" s="1"/>
  <c r="C65" i="80" s="1"/>
  <c r="C83" i="80"/>
  <c r="F83" i="80" s="1"/>
  <c r="C68" i="80" s="1"/>
  <c r="C88" i="80"/>
  <c r="F88" i="80" s="1"/>
  <c r="C73" i="80" s="1"/>
  <c r="C79" i="80"/>
  <c r="F79" i="80" s="1"/>
  <c r="C64" i="80" s="1"/>
  <c r="D37" i="80" s="1"/>
  <c r="C82" i="80"/>
  <c r="F82" i="80" s="1"/>
  <c r="C67" i="80" s="1"/>
  <c r="C87" i="80"/>
  <c r="F87" i="80" s="1"/>
  <c r="C72" i="80" s="1"/>
  <c r="C85" i="80"/>
  <c r="F85" i="80" s="1"/>
  <c r="C70" i="80" s="1"/>
  <c r="F44" i="76"/>
  <c r="C15" i="69" s="1"/>
  <c r="C86" i="80"/>
  <c r="F86" i="80" s="1"/>
  <c r="C71" i="80" s="1"/>
  <c r="C84" i="80"/>
  <c r="F84" i="80" s="1"/>
  <c r="C69" i="80" s="1"/>
  <c r="C81" i="80"/>
  <c r="F81" i="80" s="1"/>
  <c r="C66" i="80" s="1"/>
  <c r="E86" i="56"/>
  <c r="E88" i="56"/>
  <c r="E82" i="56"/>
  <c r="E80" i="56"/>
  <c r="E85" i="56"/>
  <c r="E81" i="56"/>
  <c r="E84" i="56"/>
  <c r="E87" i="56"/>
  <c r="E83" i="56"/>
  <c r="E89" i="56"/>
  <c r="E91" i="56"/>
  <c r="F83" i="56"/>
  <c r="F82" i="56"/>
  <c r="F81" i="56"/>
  <c r="F80" i="56"/>
  <c r="F88" i="56"/>
  <c r="F89" i="56"/>
  <c r="F84" i="56"/>
  <c r="F87" i="56"/>
  <c r="F86" i="56"/>
  <c r="F85" i="56"/>
  <c r="F91" i="56"/>
  <c r="E47" i="56"/>
  <c r="E48" i="56" s="1"/>
  <c r="D22" i="76"/>
  <c r="D45" i="76" s="1"/>
  <c r="G66" i="56"/>
  <c r="K66" i="56"/>
  <c r="K78" i="56"/>
  <c r="E140" i="80"/>
  <c r="E145" i="80"/>
  <c r="E142" i="80"/>
  <c r="E146" i="80"/>
  <c r="E144" i="80"/>
  <c r="E139" i="80"/>
  <c r="E138" i="80"/>
  <c r="E141" i="80"/>
  <c r="E143" i="80"/>
  <c r="E137" i="80"/>
  <c r="C134" i="80"/>
  <c r="G46" i="74"/>
  <c r="B46" i="74"/>
  <c r="H46" i="74"/>
  <c r="I46" i="74"/>
  <c r="E94" i="80"/>
  <c r="D118" i="80" s="1"/>
  <c r="E118" i="80" s="1"/>
  <c r="G118" i="80" s="1"/>
  <c r="G66" i="80" s="1"/>
  <c r="C151" i="80"/>
  <c r="C139" i="80"/>
  <c r="C142" i="80"/>
  <c r="C154" i="80"/>
  <c r="E97" i="80"/>
  <c r="D121" i="80" s="1"/>
  <c r="C149" i="80"/>
  <c r="C137" i="80"/>
  <c r="E92" i="80"/>
  <c r="D116" i="80" s="1"/>
  <c r="E101" i="80"/>
  <c r="D125" i="80" s="1"/>
  <c r="C158" i="80"/>
  <c r="C146" i="80"/>
  <c r="E96" i="80"/>
  <c r="D120" i="80" s="1"/>
  <c r="E120" i="80" s="1"/>
  <c r="G120" i="80" s="1"/>
  <c r="G68" i="80" s="1"/>
  <c r="C153" i="80"/>
  <c r="C141" i="80"/>
  <c r="C157" i="80"/>
  <c r="C145" i="80"/>
  <c r="E100" i="80"/>
  <c r="D124" i="80" s="1"/>
  <c r="E124" i="80" s="1"/>
  <c r="G124" i="80" s="1"/>
  <c r="G72" i="80" s="1"/>
  <c r="C140" i="80"/>
  <c r="E95" i="80"/>
  <c r="D119" i="80" s="1"/>
  <c r="C152" i="80"/>
  <c r="E98" i="80"/>
  <c r="D122" i="80" s="1"/>
  <c r="C143" i="80"/>
  <c r="C155" i="80"/>
  <c r="E93" i="80"/>
  <c r="D117" i="80" s="1"/>
  <c r="E117" i="80" s="1"/>
  <c r="G117" i="80" s="1"/>
  <c r="G65" i="80" s="1"/>
  <c r="C138" i="80"/>
  <c r="C150" i="80"/>
  <c r="C156" i="80"/>
  <c r="C144" i="80"/>
  <c r="E99" i="80"/>
  <c r="D123" i="80" s="1"/>
  <c r="E123" i="80" s="1"/>
  <c r="G123" i="80" s="1"/>
  <c r="G71" i="80" s="1"/>
  <c r="E122" i="80" l="1"/>
  <c r="G122" i="80" s="1"/>
  <c r="G70" i="80" s="1"/>
  <c r="E116" i="80"/>
  <c r="G116" i="80" s="1"/>
  <c r="G64" i="80" s="1"/>
  <c r="E37" i="80" s="1"/>
  <c r="E119" i="80"/>
  <c r="G119" i="80" s="1"/>
  <c r="G67" i="80" s="1"/>
  <c r="E44" i="80" s="1"/>
  <c r="E121" i="80"/>
  <c r="G121" i="80" s="1"/>
  <c r="G69" i="80" s="1"/>
  <c r="E125" i="80"/>
  <c r="G125" i="80" s="1"/>
  <c r="G73" i="80" s="1"/>
  <c r="G48" i="56"/>
  <c r="D22" i="5"/>
  <c r="F45" i="76"/>
  <c r="C16" i="69" s="1"/>
  <c r="C27" i="69" s="1"/>
  <c r="G81" i="56"/>
  <c r="F13" i="5" s="1"/>
  <c r="G13" i="5" s="1"/>
  <c r="G80" i="56"/>
  <c r="F12" i="5" s="1"/>
  <c r="G12" i="5" s="1"/>
  <c r="G82" i="56"/>
  <c r="F14" i="5" s="1"/>
  <c r="G14" i="5" s="1"/>
  <c r="G84" i="56"/>
  <c r="F16" i="5" s="1"/>
  <c r="D43" i="80"/>
  <c r="D44" i="80"/>
  <c r="D40" i="80"/>
  <c r="D39" i="80"/>
  <c r="G86" i="56"/>
  <c r="F18" i="5" s="1"/>
  <c r="D56" i="80"/>
  <c r="D55" i="80"/>
  <c r="D46" i="80"/>
  <c r="D45" i="80"/>
  <c r="D42" i="80"/>
  <c r="D41" i="80"/>
  <c r="D48" i="80"/>
  <c r="D47" i="80"/>
  <c r="D38" i="80"/>
  <c r="G88" i="56"/>
  <c r="F20" i="5" s="1"/>
  <c r="D51" i="80"/>
  <c r="D52" i="80"/>
  <c r="G89" i="56"/>
  <c r="G83" i="56"/>
  <c r="F15" i="5" s="1"/>
  <c r="D50" i="80"/>
  <c r="D49" i="80"/>
  <c r="G85" i="56"/>
  <c r="G87" i="56"/>
  <c r="F19" i="5" s="1"/>
  <c r="D54" i="80"/>
  <c r="D53" i="80"/>
  <c r="K91" i="56"/>
  <c r="I47" i="74"/>
  <c r="B47" i="74"/>
  <c r="G47" i="74"/>
  <c r="H47" i="74"/>
  <c r="E53" i="80"/>
  <c r="E54" i="80"/>
  <c r="F155" i="80"/>
  <c r="I155" i="80" s="1"/>
  <c r="J70" i="80" s="1"/>
  <c r="G155" i="80"/>
  <c r="J155" i="80" s="1"/>
  <c r="K70" i="80" s="1"/>
  <c r="E49" i="80"/>
  <c r="E50" i="80"/>
  <c r="G153" i="80"/>
  <c r="J153" i="80" s="1"/>
  <c r="K68" i="80" s="1"/>
  <c r="F153" i="80"/>
  <c r="I153" i="80" s="1"/>
  <c r="J68" i="80" s="1"/>
  <c r="E47" i="80"/>
  <c r="E48" i="80"/>
  <c r="E56" i="80"/>
  <c r="E55" i="80"/>
  <c r="G157" i="80"/>
  <c r="J157" i="80" s="1"/>
  <c r="K72" i="80" s="1"/>
  <c r="F157" i="80"/>
  <c r="I157" i="80" s="1"/>
  <c r="J72" i="80" s="1"/>
  <c r="G137" i="80"/>
  <c r="J137" i="80" s="1"/>
  <c r="I64" i="80" s="1"/>
  <c r="F137" i="80"/>
  <c r="I137" i="80" s="1"/>
  <c r="H64" i="80" s="1"/>
  <c r="G143" i="80"/>
  <c r="J143" i="80" s="1"/>
  <c r="I70" i="80" s="1"/>
  <c r="F143" i="80"/>
  <c r="I143" i="80" s="1"/>
  <c r="H70" i="80" s="1"/>
  <c r="G141" i="80"/>
  <c r="J141" i="80" s="1"/>
  <c r="I68" i="80" s="1"/>
  <c r="F141" i="80"/>
  <c r="I141" i="80" s="1"/>
  <c r="H68" i="80" s="1"/>
  <c r="F149" i="80"/>
  <c r="I149" i="80" s="1"/>
  <c r="J64" i="80" s="1"/>
  <c r="G149" i="80"/>
  <c r="J149" i="80" s="1"/>
  <c r="K64" i="80" s="1"/>
  <c r="G144" i="80"/>
  <c r="J144" i="80" s="1"/>
  <c r="I71" i="80" s="1"/>
  <c r="F144" i="80"/>
  <c r="I144" i="80" s="1"/>
  <c r="H71" i="80" s="1"/>
  <c r="F152" i="80"/>
  <c r="I152" i="80" s="1"/>
  <c r="J67" i="80" s="1"/>
  <c r="G152" i="80"/>
  <c r="J152" i="80" s="1"/>
  <c r="K67" i="80" s="1"/>
  <c r="E46" i="80"/>
  <c r="E45" i="80"/>
  <c r="F154" i="80"/>
  <c r="I154" i="80" s="1"/>
  <c r="J69" i="80" s="1"/>
  <c r="G154" i="80"/>
  <c r="J154" i="80" s="1"/>
  <c r="K69" i="80" s="1"/>
  <c r="F150" i="80"/>
  <c r="I150" i="80" s="1"/>
  <c r="J65" i="80" s="1"/>
  <c r="G150" i="80"/>
  <c r="J150" i="80" s="1"/>
  <c r="K65" i="80" s="1"/>
  <c r="F158" i="80"/>
  <c r="I158" i="80" s="1"/>
  <c r="J73" i="80" s="1"/>
  <c r="G158" i="80"/>
  <c r="J158" i="80" s="1"/>
  <c r="K73" i="80" s="1"/>
  <c r="G139" i="80"/>
  <c r="J139" i="80" s="1"/>
  <c r="I66" i="80" s="1"/>
  <c r="F139" i="80"/>
  <c r="I139" i="80" s="1"/>
  <c r="H66" i="80" s="1"/>
  <c r="G138" i="80"/>
  <c r="J138" i="80" s="1"/>
  <c r="I65" i="80" s="1"/>
  <c r="F138" i="80"/>
  <c r="I138" i="80" s="1"/>
  <c r="H65" i="80" s="1"/>
  <c r="F151" i="80"/>
  <c r="I151" i="80" s="1"/>
  <c r="J66" i="80" s="1"/>
  <c r="G151" i="80"/>
  <c r="J151" i="80" s="1"/>
  <c r="K66" i="80" s="1"/>
  <c r="E51" i="80"/>
  <c r="E52" i="80"/>
  <c r="G156" i="80"/>
  <c r="J156" i="80" s="1"/>
  <c r="K71" i="80" s="1"/>
  <c r="F156" i="80"/>
  <c r="I156" i="80" s="1"/>
  <c r="J71" i="80" s="1"/>
  <c r="G146" i="80"/>
  <c r="J146" i="80" s="1"/>
  <c r="I73" i="80" s="1"/>
  <c r="F146" i="80"/>
  <c r="I146" i="80" s="1"/>
  <c r="H73" i="80" s="1"/>
  <c r="G142" i="80"/>
  <c r="J142" i="80" s="1"/>
  <c r="I69" i="80" s="1"/>
  <c r="F142" i="80"/>
  <c r="I142" i="80" s="1"/>
  <c r="H69" i="80" s="1"/>
  <c r="F140" i="80"/>
  <c r="I140" i="80" s="1"/>
  <c r="H67" i="80" s="1"/>
  <c r="G140" i="80"/>
  <c r="J140" i="80" s="1"/>
  <c r="I67" i="80" s="1"/>
  <c r="E40" i="80"/>
  <c r="E39" i="80"/>
  <c r="G145" i="80"/>
  <c r="J145" i="80" s="1"/>
  <c r="I72" i="80" s="1"/>
  <c r="F145" i="80"/>
  <c r="I145" i="80" s="1"/>
  <c r="H72" i="80" s="1"/>
  <c r="E38" i="80"/>
  <c r="E42" i="80"/>
  <c r="E41" i="80"/>
  <c r="E43" i="80" l="1"/>
  <c r="G90" i="56"/>
  <c r="G91" i="56" s="1"/>
  <c r="C24" i="69"/>
  <c r="C21" i="69"/>
  <c r="F21" i="5"/>
  <c r="G21" i="5" s="1"/>
  <c r="G20" i="5"/>
  <c r="G18" i="5"/>
  <c r="G19" i="5"/>
  <c r="F17" i="5"/>
  <c r="G17" i="5" s="1"/>
  <c r="G15" i="5"/>
  <c r="G16" i="5"/>
  <c r="H48" i="74"/>
  <c r="B48" i="74"/>
  <c r="G48" i="74"/>
  <c r="I48" i="74"/>
  <c r="F38" i="80"/>
  <c r="G38" i="80" s="1"/>
  <c r="D11" i="84" s="1"/>
  <c r="F37" i="80"/>
  <c r="G37" i="80" s="1"/>
  <c r="C11" i="84" s="1"/>
  <c r="F39" i="80"/>
  <c r="G39" i="80" s="1"/>
  <c r="C12" i="84" s="1"/>
  <c r="F40" i="80"/>
  <c r="G40" i="80" s="1"/>
  <c r="D12" i="84" s="1"/>
  <c r="F53" i="80"/>
  <c r="G53" i="80" s="1"/>
  <c r="C19" i="84" s="1"/>
  <c r="F54" i="80"/>
  <c r="G54" i="80" s="1"/>
  <c r="D19" i="84" s="1"/>
  <c r="F55" i="80"/>
  <c r="G55" i="80" s="1"/>
  <c r="C20" i="84" s="1"/>
  <c r="F56" i="80"/>
  <c r="G56" i="80" s="1"/>
  <c r="D20" i="84" s="1"/>
  <c r="F41" i="80"/>
  <c r="G41" i="80" s="1"/>
  <c r="C13" i="84" s="1"/>
  <c r="F42" i="80"/>
  <c r="G42" i="80" s="1"/>
  <c r="D13" i="84" s="1"/>
  <c r="F46" i="80"/>
  <c r="G46" i="80" s="1"/>
  <c r="D15" i="84" s="1"/>
  <c r="F45" i="80"/>
  <c r="G45" i="80" s="1"/>
  <c r="C15" i="84" s="1"/>
  <c r="F52" i="80"/>
  <c r="G52" i="80" s="1"/>
  <c r="D18" i="84" s="1"/>
  <c r="F51" i="80"/>
  <c r="G51" i="80" s="1"/>
  <c r="C18" i="84" s="1"/>
  <c r="F43" i="80"/>
  <c r="G43" i="80" s="1"/>
  <c r="C14" i="84" s="1"/>
  <c r="F44" i="80"/>
  <c r="G44" i="80" s="1"/>
  <c r="D14" i="84" s="1"/>
  <c r="F47" i="80"/>
  <c r="G47" i="80" s="1"/>
  <c r="C16" i="84" s="1"/>
  <c r="F48" i="80"/>
  <c r="G48" i="80" s="1"/>
  <c r="D16" i="84" s="1"/>
  <c r="F49" i="80"/>
  <c r="G49" i="80" s="1"/>
  <c r="C17" i="84" s="1"/>
  <c r="F50" i="80"/>
  <c r="G50" i="80" s="1"/>
  <c r="D17" i="84" s="1"/>
  <c r="F22" i="5" l="1"/>
  <c r="G22" i="5" s="1"/>
  <c r="B49" i="74"/>
  <c r="I49" i="74"/>
  <c r="G49" i="74"/>
  <c r="H49" i="74"/>
  <c r="H50" i="74" l="1"/>
  <c r="B50" i="74"/>
  <c r="I50" i="74"/>
  <c r="G50" i="74"/>
  <c r="I51" i="74" l="1"/>
  <c r="B51" i="74"/>
  <c r="G51" i="74"/>
  <c r="H51" i="74"/>
  <c r="H52" i="74" l="1"/>
  <c r="G52" i="74"/>
  <c r="B52" i="74"/>
  <c r="I52" i="74"/>
  <c r="G53" i="74" l="1"/>
  <c r="I53" i="74"/>
  <c r="B53" i="74"/>
  <c r="H53" i="74"/>
  <c r="H54" i="74" l="1"/>
  <c r="I54" i="74"/>
  <c r="G54" i="74"/>
  <c r="B54" i="74"/>
  <c r="B55" i="74" l="1"/>
  <c r="I55" i="74"/>
  <c r="H55" i="74"/>
  <c r="G55" i="74"/>
  <c r="G56" i="74" l="1"/>
  <c r="I56" i="74"/>
  <c r="B56" i="74"/>
  <c r="H56" i="74"/>
  <c r="H57" i="74" l="1"/>
  <c r="I57" i="74"/>
  <c r="G57" i="74"/>
  <c r="B57" i="74"/>
  <c r="G58" i="74" l="1"/>
  <c r="B58" i="74"/>
  <c r="I58" i="74"/>
  <c r="H58" i="74"/>
  <c r="G59" i="74" l="1"/>
  <c r="H59" i="74"/>
  <c r="B59" i="74"/>
  <c r="I59" i="74"/>
  <c r="I60" i="74" l="1"/>
  <c r="B60" i="74"/>
  <c r="G60" i="74"/>
  <c r="H60" i="74"/>
  <c r="I61" i="74" l="1"/>
  <c r="H61" i="74"/>
  <c r="G61" i="74"/>
  <c r="B61" i="74"/>
  <c r="B62" i="74" l="1"/>
  <c r="I62" i="74"/>
  <c r="G62" i="74"/>
  <c r="H62" i="74"/>
  <c r="H63" i="74" l="1"/>
  <c r="B63" i="74"/>
  <c r="I63" i="74"/>
  <c r="G63" i="74"/>
  <c r="G64" i="74" l="1"/>
  <c r="I64" i="74"/>
  <c r="B64" i="74"/>
  <c r="H64" i="74"/>
  <c r="I65" i="74" l="1"/>
  <c r="H65" i="74"/>
  <c r="B65" i="74"/>
  <c r="G65" i="74"/>
  <c r="B66" i="74" l="1"/>
  <c r="I66" i="74"/>
  <c r="H66" i="74"/>
  <c r="G66" i="74"/>
  <c r="G67" i="74" l="1"/>
  <c r="I67" i="74"/>
  <c r="B67" i="74"/>
  <c r="H67" i="74"/>
  <c r="B68" i="74" l="1"/>
  <c r="I68" i="74"/>
  <c r="H68" i="74"/>
  <c r="G68" i="74"/>
  <c r="I69" i="74" l="1"/>
  <c r="G69" i="74"/>
  <c r="H69" i="74"/>
  <c r="B69" i="74"/>
  <c r="H70" i="74" l="1"/>
  <c r="G70" i="74"/>
  <c r="I70" i="74"/>
  <c r="B70" i="74"/>
  <c r="H71" i="74" l="1"/>
  <c r="B71" i="74"/>
  <c r="I71" i="74"/>
  <c r="G71" i="74"/>
  <c r="I72" i="74" l="1"/>
  <c r="H72" i="74"/>
  <c r="G72" i="74"/>
  <c r="B72" i="74"/>
  <c r="G73" i="74" l="1"/>
  <c r="I73" i="74"/>
  <c r="B73" i="74"/>
  <c r="H73" i="74"/>
  <c r="G74" i="74" l="1"/>
  <c r="H74" i="74"/>
  <c r="B74" i="74"/>
  <c r="I74" i="74"/>
  <c r="B75" i="74" l="1"/>
  <c r="H75" i="74"/>
  <c r="I75" i="74"/>
  <c r="G75" i="74"/>
  <c r="I76" i="74" l="1"/>
  <c r="H76" i="74"/>
  <c r="G76" i="74"/>
  <c r="B76" i="74"/>
  <c r="H77" i="74" l="1"/>
  <c r="I77" i="74"/>
  <c r="B77" i="74"/>
  <c r="G77" i="74"/>
  <c r="H78" i="74" l="1"/>
  <c r="G78" i="74"/>
  <c r="B78" i="74"/>
  <c r="I78" i="74"/>
  <c r="B79" i="74" l="1"/>
  <c r="G79" i="74"/>
  <c r="H79" i="74"/>
  <c r="I79" i="74"/>
  <c r="I80" i="74" l="1"/>
  <c r="H80" i="74"/>
  <c r="G80" i="74"/>
  <c r="B80" i="74"/>
  <c r="B81" i="74" l="1"/>
  <c r="I81" i="74"/>
  <c r="H81" i="74"/>
  <c r="G81" i="74"/>
  <c r="G82" i="74" l="1"/>
  <c r="I82" i="74"/>
  <c r="H82" i="74"/>
  <c r="B82" i="74"/>
  <c r="I83" i="74" l="1"/>
  <c r="G83" i="74"/>
  <c r="B83" i="74"/>
  <c r="H83" i="74"/>
  <c r="I84" i="74" l="1"/>
  <c r="B84" i="74"/>
  <c r="H84" i="74"/>
  <c r="G84" i="74"/>
  <c r="G85" i="74" l="1"/>
  <c r="B85" i="74"/>
  <c r="I85" i="74"/>
  <c r="H85" i="74"/>
  <c r="I86" i="74" l="1"/>
  <c r="G86" i="74"/>
  <c r="H86" i="74"/>
  <c r="B86" i="74"/>
  <c r="G87" i="74" l="1"/>
  <c r="B87" i="74"/>
  <c r="H87" i="74"/>
  <c r="I87" i="74"/>
  <c r="I88" i="74" l="1"/>
  <c r="H88" i="74"/>
  <c r="G88" i="74"/>
  <c r="B88" i="74"/>
  <c r="I89" i="74" l="1"/>
  <c r="B89" i="74"/>
  <c r="G89" i="74"/>
  <c r="H89" i="74"/>
  <c r="H90" i="74" l="1"/>
  <c r="I90" i="74"/>
  <c r="B90" i="74"/>
  <c r="G90" i="74"/>
  <c r="G91" i="74" l="1"/>
  <c r="B91" i="74"/>
  <c r="H91" i="74"/>
  <c r="I91" i="74"/>
  <c r="B92" i="74" l="1"/>
  <c r="H92" i="74"/>
  <c r="G92" i="74"/>
  <c r="I92" i="74"/>
  <c r="G93" i="74" l="1"/>
  <c r="I93" i="74"/>
  <c r="B93" i="74"/>
  <c r="H93" i="74"/>
  <c r="G94" i="74" l="1"/>
  <c r="B94" i="74"/>
  <c r="H94" i="74"/>
  <c r="I94" i="74"/>
  <c r="H95" i="74" l="1"/>
  <c r="I95" i="74"/>
  <c r="B95" i="74"/>
  <c r="G95" i="74"/>
  <c r="H96" i="74" l="1"/>
  <c r="G96" i="74"/>
  <c r="I96" i="74"/>
  <c r="B96" i="74"/>
  <c r="G97" i="74" l="1"/>
  <c r="H97" i="74"/>
  <c r="B97" i="74"/>
  <c r="I97" i="74"/>
  <c r="I98" i="74" l="1"/>
  <c r="G98" i="74"/>
  <c r="B98" i="74"/>
  <c r="H98" i="74"/>
  <c r="H99" i="74" l="1"/>
  <c r="I99" i="74"/>
  <c r="B99" i="74"/>
  <c r="G99" i="74"/>
  <c r="G100" i="74" l="1"/>
  <c r="B100" i="74"/>
  <c r="H100" i="74"/>
  <c r="I100" i="74"/>
  <c r="I101" i="74" l="1"/>
  <c r="H101" i="74"/>
  <c r="B101" i="74"/>
  <c r="G101" i="74"/>
  <c r="B102" i="74" l="1"/>
  <c r="I102" i="74"/>
  <c r="H102" i="74"/>
  <c r="G102" i="74"/>
  <c r="G103" i="74" l="1"/>
  <c r="I103" i="74"/>
  <c r="B103" i="74"/>
  <c r="H103" i="74"/>
  <c r="H104" i="74" l="1"/>
  <c r="I104" i="74"/>
  <c r="G104" i="74"/>
  <c r="B104" i="74"/>
  <c r="G105" i="74" l="1"/>
  <c r="I105" i="74"/>
  <c r="B105" i="74"/>
  <c r="H105" i="74"/>
  <c r="B106" i="74" l="1"/>
  <c r="H106" i="74"/>
  <c r="I106" i="74"/>
  <c r="G106" i="74"/>
  <c r="B107" i="74" l="1"/>
  <c r="I107" i="74"/>
  <c r="H107" i="74"/>
  <c r="G107" i="74"/>
  <c r="I108" i="74" l="1"/>
  <c r="H108" i="74"/>
  <c r="G108" i="74"/>
  <c r="B108" i="74"/>
  <c r="B109" i="74" l="1"/>
  <c r="I109" i="74"/>
  <c r="H109" i="74"/>
  <c r="G109" i="74"/>
  <c r="I110" i="74" l="1"/>
  <c r="G110" i="74"/>
  <c r="B110" i="74"/>
  <c r="H110" i="74"/>
  <c r="I111" i="74" l="1"/>
  <c r="B111" i="74"/>
  <c r="G111" i="74"/>
  <c r="H111" i="74"/>
  <c r="B112" i="74" l="1"/>
  <c r="G112" i="74"/>
  <c r="H112" i="74"/>
  <c r="I112" i="74"/>
  <c r="H113" i="74" l="1"/>
  <c r="I113" i="74"/>
  <c r="G113" i="74"/>
  <c r="B113" i="74"/>
  <c r="B114" i="74" l="1"/>
  <c r="I114" i="74"/>
  <c r="H114" i="74"/>
  <c r="G114" i="74"/>
  <c r="B115" i="74" l="1"/>
  <c r="I115" i="74"/>
  <c r="G115" i="74"/>
  <c r="H115" i="74"/>
  <c r="I116" i="74" l="1"/>
  <c r="B116" i="74"/>
  <c r="H116" i="74"/>
  <c r="G116" i="74"/>
  <c r="I117" i="74" l="1"/>
  <c r="B117" i="74"/>
  <c r="G117" i="74"/>
  <c r="H117" i="74"/>
  <c r="H118" i="74" l="1"/>
  <c r="B118" i="74"/>
  <c r="G118" i="74"/>
  <c r="I118" i="74"/>
  <c r="I119" i="74" l="1"/>
  <c r="G119" i="74"/>
  <c r="H119" i="74"/>
  <c r="B119" i="74"/>
  <c r="H120" i="74" l="1"/>
  <c r="G120" i="74"/>
  <c r="B120" i="74"/>
  <c r="I120" i="74"/>
  <c r="G121" i="74" l="1"/>
  <c r="B121" i="74"/>
  <c r="I121" i="74"/>
  <c r="H121" i="74"/>
  <c r="I122" i="74" l="1"/>
  <c r="B122" i="74"/>
  <c r="G122" i="74"/>
  <c r="H122" i="74"/>
  <c r="H123" i="74" l="1"/>
  <c r="I123" i="74"/>
  <c r="B123" i="74"/>
  <c r="G123" i="74"/>
  <c r="G124" i="74" l="1"/>
  <c r="B124" i="74"/>
  <c r="H124" i="74"/>
  <c r="I124" i="74"/>
  <c r="I125" i="74" l="1"/>
  <c r="B125" i="74"/>
  <c r="G125" i="74"/>
  <c r="H125" i="74"/>
  <c r="I126" i="74" l="1"/>
  <c r="B126" i="74"/>
  <c r="H126" i="74"/>
  <c r="G126" i="74"/>
  <c r="G127" i="74" l="1"/>
  <c r="B127" i="74"/>
  <c r="H127" i="74"/>
  <c r="I127" i="74"/>
  <c r="I128" i="74" l="1"/>
  <c r="B128" i="74"/>
  <c r="H128" i="74"/>
  <c r="G128" i="74"/>
  <c r="G129" i="74" l="1"/>
  <c r="H129" i="74"/>
  <c r="B129" i="74"/>
  <c r="I129" i="74"/>
  <c r="G130" i="74" l="1"/>
  <c r="I130" i="74"/>
  <c r="H130" i="74"/>
  <c r="B130" i="74"/>
  <c r="I131" i="74" l="1"/>
  <c r="B131" i="74"/>
  <c r="G131" i="74"/>
  <c r="H131" i="74"/>
  <c r="B132" i="74" l="1"/>
  <c r="H132" i="74"/>
  <c r="I132" i="74"/>
  <c r="G132" i="74"/>
  <c r="B133" i="74" l="1"/>
  <c r="I133" i="74"/>
  <c r="H133" i="74"/>
  <c r="G133" i="74"/>
  <c r="B134" i="74" l="1"/>
  <c r="H134" i="74"/>
  <c r="G134" i="74"/>
  <c r="I134" i="74"/>
  <c r="G135" i="74" l="1"/>
  <c r="B135" i="74"/>
  <c r="I135" i="74"/>
  <c r="H135" i="74"/>
  <c r="H136" i="74" l="1"/>
  <c r="B136" i="74"/>
  <c r="G136" i="74"/>
  <c r="I136" i="74"/>
  <c r="H137" i="74" l="1"/>
  <c r="B137" i="74"/>
  <c r="G137" i="74"/>
  <c r="I137" i="74"/>
  <c r="G138" i="74" l="1"/>
  <c r="B138" i="74"/>
  <c r="H138" i="74"/>
  <c r="I138" i="74"/>
  <c r="I139" i="74" l="1"/>
  <c r="B139" i="74"/>
  <c r="G139" i="74"/>
  <c r="H139" i="74"/>
  <c r="H140" i="74" l="1"/>
  <c r="G140" i="74"/>
  <c r="I140" i="74"/>
  <c r="B140" i="74"/>
  <c r="H141" i="74" l="1"/>
  <c r="I141" i="74"/>
  <c r="B141" i="74"/>
  <c r="G141" i="74"/>
  <c r="B142" i="74" l="1"/>
  <c r="G142" i="74"/>
  <c r="I142" i="74"/>
  <c r="H142" i="74"/>
  <c r="I143" i="74" l="1"/>
  <c r="B143" i="74"/>
  <c r="H143" i="74"/>
  <c r="G143" i="74"/>
  <c r="B144" i="74" l="1"/>
  <c r="G144" i="74"/>
  <c r="H144" i="74"/>
  <c r="I144" i="74"/>
  <c r="G145" i="74" l="1"/>
  <c r="B145" i="74"/>
  <c r="I145" i="74"/>
  <c r="H145" i="74"/>
  <c r="B146" i="74" l="1"/>
  <c r="H146" i="74"/>
  <c r="I146" i="74"/>
  <c r="G146" i="74"/>
  <c r="H147" i="74" l="1"/>
  <c r="G147" i="74"/>
  <c r="B147" i="74"/>
  <c r="I147" i="74"/>
  <c r="I148" i="74" l="1"/>
  <c r="B148" i="74"/>
  <c r="H148" i="74"/>
  <c r="G148" i="74"/>
  <c r="H149" i="74" l="1"/>
  <c r="G149" i="74"/>
  <c r="I149" i="74"/>
  <c r="B149" i="74"/>
  <c r="I150" i="74" l="1"/>
  <c r="H150" i="74"/>
  <c r="G150" i="74"/>
  <c r="B150" i="74"/>
  <c r="H151" i="74" l="1"/>
  <c r="G151" i="74"/>
  <c r="B151" i="74"/>
  <c r="I151" i="74"/>
  <c r="I152" i="74" l="1"/>
  <c r="H152" i="74"/>
  <c r="G152" i="74"/>
  <c r="B152" i="74"/>
  <c r="I153" i="74" l="1"/>
  <c r="B153" i="74"/>
  <c r="H153" i="74"/>
  <c r="G153" i="74"/>
  <c r="H154" i="74" l="1"/>
  <c r="B154" i="74"/>
  <c r="G154" i="74"/>
  <c r="I154" i="74"/>
  <c r="I155" i="74" l="1"/>
  <c r="B155" i="74"/>
  <c r="H155" i="74"/>
  <c r="G155" i="74"/>
  <c r="H156" i="74" l="1"/>
  <c r="B156" i="74"/>
  <c r="G156" i="74"/>
  <c r="I156" i="74"/>
  <c r="G157" i="74" l="1"/>
  <c r="B157" i="74"/>
  <c r="I157" i="74"/>
  <c r="H157" i="74"/>
  <c r="G158" i="74" l="1"/>
  <c r="I158" i="74"/>
  <c r="H158" i="74"/>
  <c r="B158" i="74"/>
  <c r="G159" i="74" l="1"/>
  <c r="H159" i="74"/>
  <c r="B159" i="74"/>
  <c r="I159" i="74"/>
  <c r="H160" i="74" l="1"/>
  <c r="I160" i="74"/>
  <c r="B160" i="74"/>
  <c r="G160" i="74"/>
  <c r="G161" i="74" l="1"/>
  <c r="I161" i="74"/>
  <c r="H161" i="74"/>
  <c r="B161" i="74"/>
  <c r="H162" i="74" l="1"/>
  <c r="I162" i="74"/>
  <c r="G162" i="74"/>
  <c r="B162" i="74"/>
  <c r="I163" i="74" l="1"/>
  <c r="H163" i="74"/>
  <c r="B163" i="74"/>
  <c r="G163" i="74"/>
  <c r="G164" i="74" l="1"/>
  <c r="I164" i="74"/>
  <c r="B164" i="74"/>
  <c r="H164" i="74"/>
  <c r="B165" i="74" l="1"/>
  <c r="I165" i="74"/>
  <c r="H165" i="74"/>
  <c r="G165" i="74"/>
  <c r="I166" i="74" l="1"/>
  <c r="G166" i="74"/>
  <c r="H166" i="74"/>
  <c r="B166" i="74"/>
  <c r="H167" i="74" l="1"/>
  <c r="G167" i="74"/>
  <c r="B167" i="74"/>
  <c r="I167" i="74"/>
  <c r="G168" i="74" l="1"/>
  <c r="B168" i="74"/>
  <c r="H168" i="74"/>
  <c r="I168" i="74"/>
  <c r="I169" i="74" l="1"/>
  <c r="B169" i="74"/>
  <c r="H169" i="74"/>
  <c r="G169" i="74"/>
  <c r="I170" i="74" l="1"/>
  <c r="H170" i="74"/>
  <c r="B170" i="74"/>
  <c r="G170" i="74"/>
  <c r="G171" i="74" l="1"/>
  <c r="I171" i="74"/>
  <c r="H171" i="74"/>
  <c r="B171" i="74"/>
  <c r="G172" i="74" l="1"/>
  <c r="H172" i="74"/>
  <c r="B172" i="74"/>
  <c r="I172" i="74"/>
  <c r="H173" i="74" l="1"/>
  <c r="B173" i="74"/>
  <c r="G173" i="74"/>
  <c r="I173" i="74"/>
  <c r="I174" i="74" l="1"/>
  <c r="B174" i="74"/>
  <c r="G174" i="74"/>
  <c r="H174" i="74"/>
  <c r="G175" i="74" l="1"/>
  <c r="H175" i="74"/>
  <c r="I175" i="74"/>
  <c r="B175" i="74"/>
  <c r="G176" i="74" l="1"/>
  <c r="B176" i="74"/>
  <c r="H176" i="74"/>
  <c r="I176" i="74"/>
  <c r="G177" i="74" l="1"/>
  <c r="B177" i="74"/>
  <c r="I177" i="74"/>
  <c r="H177" i="74"/>
  <c r="H178" i="74" l="1"/>
  <c r="I178" i="74"/>
  <c r="G178" i="74"/>
  <c r="B178" i="74"/>
  <c r="G179" i="74" l="1"/>
  <c r="B179" i="74"/>
  <c r="H179" i="74"/>
  <c r="I179" i="74"/>
  <c r="I180" i="74" l="1"/>
  <c r="H180" i="74"/>
  <c r="B180" i="74"/>
  <c r="G180" i="74"/>
  <c r="H181" i="74" l="1"/>
  <c r="B181" i="74"/>
  <c r="I181" i="74"/>
  <c r="G181" i="74"/>
  <c r="B182" i="74" l="1"/>
  <c r="G182" i="74"/>
  <c r="H182" i="74"/>
  <c r="I182" i="74"/>
  <c r="H183" i="74" l="1"/>
  <c r="G183" i="74"/>
  <c r="I183" i="74"/>
  <c r="B183" i="74"/>
  <c r="H184" i="74" l="1"/>
  <c r="G184" i="74"/>
  <c r="B184" i="74"/>
  <c r="I184" i="74"/>
  <c r="G185" i="74" l="1"/>
  <c r="I185" i="74"/>
  <c r="H185" i="74"/>
  <c r="B185" i="74"/>
  <c r="G186" i="74" l="1"/>
  <c r="B186" i="74"/>
  <c r="H186" i="74"/>
  <c r="I186" i="74"/>
  <c r="I187" i="74" l="1"/>
  <c r="G187" i="74"/>
  <c r="B187" i="74"/>
  <c r="H187" i="74"/>
  <c r="I188" i="74" l="1"/>
  <c r="G188" i="74"/>
  <c r="B188" i="74"/>
  <c r="H188" i="74"/>
  <c r="H189" i="74" l="1"/>
  <c r="I189" i="74"/>
  <c r="B189" i="74"/>
  <c r="G189" i="74"/>
  <c r="B190" i="74" l="1"/>
  <c r="H190" i="74"/>
  <c r="G190" i="74"/>
  <c r="I190" i="74"/>
  <c r="H191" i="74" l="1"/>
  <c r="G191" i="74"/>
  <c r="I191" i="74"/>
  <c r="B191" i="74"/>
  <c r="H192" i="74" l="1"/>
  <c r="I192" i="74"/>
  <c r="G192" i="74"/>
  <c r="B192" i="74"/>
  <c r="H193" i="74" l="1"/>
  <c r="I193" i="74"/>
  <c r="B193" i="74"/>
  <c r="G193" i="74"/>
  <c r="H194" i="74" l="1"/>
  <c r="G194" i="74"/>
  <c r="I194" i="74"/>
  <c r="B194" i="74"/>
  <c r="I195" i="74" l="1"/>
  <c r="G195" i="74"/>
  <c r="B195" i="74"/>
  <c r="H195" i="74"/>
  <c r="I196" i="74" l="1"/>
  <c r="G196" i="74"/>
  <c r="H196" i="74"/>
  <c r="B196" i="74"/>
  <c r="H197" i="74" l="1"/>
  <c r="G197" i="74"/>
  <c r="I197" i="74"/>
  <c r="B197" i="74"/>
  <c r="H198" i="74" l="1"/>
  <c r="G198" i="74"/>
  <c r="B198" i="74"/>
  <c r="I198" i="74"/>
  <c r="H199" i="74" l="1"/>
  <c r="B199" i="74"/>
  <c r="G199" i="74"/>
  <c r="I199" i="74"/>
  <c r="H200" i="74" l="1"/>
  <c r="I200" i="74"/>
  <c r="G200" i="74"/>
  <c r="B200" i="74"/>
  <c r="G201" i="74" l="1"/>
  <c r="I201" i="74"/>
  <c r="B201" i="74"/>
  <c r="H201" i="74"/>
  <c r="G202" i="74" l="1"/>
  <c r="H202" i="74"/>
  <c r="B202" i="74"/>
  <c r="I202" i="74"/>
  <c r="B203" i="74" l="1"/>
  <c r="G203" i="74"/>
  <c r="I203" i="74"/>
  <c r="H203" i="74"/>
  <c r="G204" i="74" l="1"/>
  <c r="I204" i="74"/>
  <c r="B204" i="74"/>
  <c r="H204" i="74"/>
  <c r="H205" i="74" l="1"/>
  <c r="G205" i="74"/>
  <c r="B205" i="74"/>
  <c r="I205" i="74"/>
  <c r="B206" i="74" l="1"/>
  <c r="I206" i="74"/>
  <c r="H206" i="74"/>
  <c r="G206" i="74"/>
  <c r="I207" i="74" l="1"/>
  <c r="B207" i="74"/>
  <c r="G207" i="74"/>
  <c r="H207" i="74"/>
  <c r="G208" i="74" l="1"/>
  <c r="H208" i="74"/>
  <c r="B208" i="74"/>
  <c r="I208" i="74"/>
  <c r="G209" i="74" l="1"/>
  <c r="H209" i="74"/>
  <c r="B209" i="74"/>
  <c r="I209" i="74"/>
  <c r="B210" i="74" l="1"/>
  <c r="H210" i="74"/>
  <c r="I210" i="74"/>
  <c r="G210" i="74"/>
  <c r="G211" i="74" l="1"/>
  <c r="B211" i="74"/>
  <c r="I211" i="74"/>
  <c r="H211" i="74"/>
  <c r="I212" i="74" l="1"/>
  <c r="B212" i="74"/>
  <c r="H212" i="74"/>
  <c r="G212" i="74"/>
  <c r="H213" i="74" l="1"/>
  <c r="G213" i="74"/>
  <c r="I213" i="74"/>
  <c r="B213" i="74"/>
  <c r="H214" i="74" l="1"/>
  <c r="G214" i="74"/>
  <c r="I214" i="74"/>
  <c r="B214" i="74"/>
  <c r="G215" i="74" l="1"/>
  <c r="B215" i="74"/>
  <c r="I215" i="74"/>
  <c r="H215" i="74"/>
  <c r="G216" i="74" l="1"/>
  <c r="I216" i="74"/>
  <c r="H216" i="74"/>
  <c r="B216" i="74"/>
  <c r="B217" i="74" l="1"/>
  <c r="G217" i="74"/>
  <c r="H217" i="74"/>
  <c r="I217" i="74"/>
  <c r="B218" i="74" l="1"/>
  <c r="G218" i="74"/>
  <c r="H218" i="74"/>
  <c r="I218" i="74"/>
  <c r="I219" i="74" l="1"/>
  <c r="H219" i="74"/>
  <c r="B219" i="74"/>
  <c r="G219" i="74"/>
  <c r="G220" i="74" l="1"/>
  <c r="I220" i="74"/>
  <c r="H220" i="74"/>
  <c r="B220" i="74"/>
  <c r="G221" i="74" l="1"/>
  <c r="H221" i="74"/>
  <c r="I221" i="74"/>
  <c r="B221" i="74"/>
  <c r="H222" i="74" l="1"/>
  <c r="B222" i="74"/>
  <c r="G222" i="74"/>
  <c r="I222" i="74"/>
  <c r="H223" i="74" l="1"/>
  <c r="G223" i="74"/>
  <c r="I223" i="74"/>
  <c r="B223" i="74"/>
  <c r="I224" i="74" l="1"/>
  <c r="H224" i="74"/>
  <c r="B224" i="74"/>
  <c r="G224" i="74"/>
  <c r="H225" i="74" l="1"/>
  <c r="I225" i="74"/>
  <c r="B225" i="74"/>
  <c r="G225" i="74"/>
  <c r="G226" i="74" l="1"/>
  <c r="B226" i="74"/>
  <c r="I226" i="74"/>
  <c r="H226" i="74"/>
  <c r="B227" i="74" l="1"/>
  <c r="G227" i="74"/>
  <c r="H227" i="74"/>
  <c r="I227" i="74"/>
  <c r="B228" i="74" l="1"/>
  <c r="I228" i="74"/>
  <c r="G228" i="74"/>
  <c r="H228" i="74"/>
  <c r="I229" i="74" l="1"/>
  <c r="G229" i="74"/>
  <c r="B229" i="74"/>
  <c r="H229" i="74"/>
  <c r="G230" i="74" l="1"/>
  <c r="I230" i="74"/>
  <c r="H230" i="74"/>
  <c r="B230" i="74"/>
  <c r="G231" i="74" l="1"/>
  <c r="B231" i="74"/>
  <c r="H231" i="74"/>
  <c r="I231" i="74"/>
  <c r="H232" i="74" l="1"/>
  <c r="I232" i="74"/>
  <c r="B232" i="74"/>
  <c r="G232" i="74"/>
  <c r="H233" i="74" l="1"/>
  <c r="B233" i="74"/>
  <c r="G233" i="74"/>
  <c r="I233" i="74"/>
  <c r="B234" i="74" l="1"/>
  <c r="I234" i="74"/>
  <c r="G234" i="74"/>
  <c r="H234" i="74"/>
  <c r="I235" i="74" l="1"/>
  <c r="H235" i="74"/>
  <c r="B235" i="74"/>
  <c r="G235" i="74"/>
  <c r="H236" i="74" l="1"/>
  <c r="B236" i="74"/>
  <c r="G236" i="74"/>
  <c r="I236" i="74"/>
  <c r="G237" i="74" l="1"/>
  <c r="H237" i="74"/>
  <c r="I237" i="74"/>
  <c r="B237" i="74"/>
  <c r="H238" i="74" l="1"/>
  <c r="B238" i="74"/>
  <c r="G238" i="74"/>
  <c r="I238" i="74"/>
  <c r="G239" i="74" l="1"/>
  <c r="I239" i="74"/>
  <c r="H239" i="74"/>
  <c r="B239" i="74"/>
  <c r="H240" i="74" l="1"/>
  <c r="B240" i="74"/>
  <c r="G240" i="74"/>
  <c r="I240" i="74"/>
  <c r="I241" i="74" l="1"/>
  <c r="G241" i="74"/>
  <c r="B241" i="74"/>
  <c r="H241" i="74"/>
  <c r="B242" i="74" l="1"/>
  <c r="G242" i="74"/>
  <c r="H242" i="74"/>
  <c r="I242" i="74"/>
  <c r="G243" i="74" l="1"/>
  <c r="H243" i="74"/>
  <c r="I243" i="74"/>
  <c r="B243" i="74"/>
  <c r="I244" i="74" l="1"/>
  <c r="G244" i="74"/>
  <c r="B244" i="74"/>
  <c r="H244" i="74"/>
  <c r="G245" i="74" l="1"/>
  <c r="I245" i="74"/>
  <c r="H245" i="74"/>
  <c r="B245" i="74"/>
  <c r="H246" i="74" l="1"/>
  <c r="I246" i="74"/>
  <c r="G246" i="74"/>
  <c r="B246" i="74"/>
  <c r="H247" i="74" l="1"/>
  <c r="I247" i="74"/>
  <c r="B247" i="74"/>
  <c r="G247" i="74"/>
  <c r="G248" i="74" l="1"/>
  <c r="B248" i="74"/>
  <c r="H248" i="74"/>
  <c r="I248" i="74"/>
  <c r="G249" i="74" l="1"/>
  <c r="B249" i="74"/>
  <c r="I249" i="74"/>
  <c r="H249" i="74"/>
  <c r="G250" i="74" l="1"/>
  <c r="B250" i="74"/>
  <c r="I250" i="74"/>
  <c r="H250" i="74"/>
  <c r="G251" i="74" l="1"/>
  <c r="H251" i="74"/>
  <c r="I251" i="74"/>
  <c r="B251" i="74"/>
  <c r="I252" i="74" l="1"/>
  <c r="G252" i="74"/>
  <c r="H252" i="74"/>
  <c r="B252" i="74"/>
  <c r="B253" i="74" l="1"/>
  <c r="G253" i="74"/>
  <c r="I253" i="74"/>
  <c r="H253" i="74"/>
  <c r="G254" i="74" l="1"/>
  <c r="I254" i="74"/>
  <c r="H254" i="74"/>
  <c r="B254" i="74"/>
  <c r="I255" i="74" l="1"/>
  <c r="B255" i="74"/>
  <c r="H255" i="74"/>
  <c r="G255" i="74"/>
  <c r="H256" i="74" l="1"/>
  <c r="B256" i="74"/>
  <c r="I256" i="74"/>
  <c r="G256" i="74"/>
  <c r="B257" i="74" l="1"/>
  <c r="G257" i="74"/>
  <c r="I257" i="74"/>
  <c r="H257" i="74"/>
  <c r="H258" i="74" l="1"/>
  <c r="G258" i="74"/>
  <c r="I258" i="74"/>
  <c r="B258" i="74"/>
  <c r="I259" i="74" l="1"/>
  <c r="G259" i="74"/>
  <c r="H259" i="74"/>
  <c r="B259" i="74"/>
  <c r="H260" i="74" l="1"/>
  <c r="G260" i="74"/>
  <c r="B260" i="74"/>
  <c r="I260" i="74"/>
  <c r="I261" i="74" l="1"/>
  <c r="G261" i="74"/>
  <c r="H261" i="74"/>
  <c r="B261" i="74"/>
  <c r="I262" i="74" l="1"/>
  <c r="B262" i="74"/>
  <c r="G262" i="74"/>
  <c r="H262" i="74"/>
  <c r="I263" i="74" l="1"/>
  <c r="G263" i="74"/>
  <c r="B263" i="74"/>
  <c r="H263" i="74"/>
  <c r="G264" i="74" l="1"/>
  <c r="H264" i="74"/>
  <c r="I264" i="74"/>
  <c r="B264" i="74"/>
  <c r="I265" i="74" l="1"/>
  <c r="H265" i="74"/>
  <c r="G265" i="74"/>
  <c r="B265" i="74"/>
  <c r="I266" i="74" l="1"/>
  <c r="H266" i="74"/>
  <c r="G266" i="74"/>
  <c r="B266" i="74"/>
  <c r="G267" i="74" l="1"/>
  <c r="I267" i="74"/>
  <c r="H267" i="74"/>
  <c r="B267" i="74"/>
  <c r="I268" i="74" l="1"/>
  <c r="H268" i="74"/>
  <c r="B268" i="74"/>
  <c r="G268" i="74"/>
  <c r="I269" i="74" l="1"/>
  <c r="B269" i="74"/>
  <c r="H269" i="74"/>
  <c r="G269" i="74"/>
  <c r="H270" i="74" l="1"/>
  <c r="B270" i="74"/>
  <c r="I270" i="74"/>
  <c r="G270" i="74"/>
  <c r="G271" i="74" l="1"/>
  <c r="B271" i="74"/>
  <c r="I271" i="74"/>
  <c r="H271" i="74"/>
  <c r="I272" i="74" l="1"/>
  <c r="B272" i="74"/>
  <c r="G272" i="74"/>
  <c r="H272" i="74"/>
  <c r="I273" i="74" l="1"/>
  <c r="G273" i="74"/>
  <c r="H273" i="74"/>
  <c r="B273" i="74"/>
  <c r="G274" i="74" l="1"/>
  <c r="I274" i="74"/>
  <c r="B274" i="74"/>
  <c r="H274" i="74"/>
  <c r="I275" i="74" l="1"/>
  <c r="H275" i="74"/>
  <c r="B275" i="74"/>
  <c r="G275" i="74"/>
  <c r="I276" i="74" l="1"/>
  <c r="H276" i="74"/>
  <c r="B276" i="74"/>
  <c r="G276" i="74"/>
  <c r="I277" i="74" l="1"/>
  <c r="B277" i="74"/>
  <c r="G277" i="74"/>
  <c r="H277" i="74"/>
  <c r="H278" i="74" l="1"/>
  <c r="B278" i="74"/>
  <c r="G278" i="74"/>
  <c r="I278" i="74"/>
  <c r="H279" i="74" l="1"/>
  <c r="G279" i="74"/>
  <c r="I279" i="74"/>
  <c r="B279" i="74"/>
  <c r="I280" i="74" l="1"/>
  <c r="G280" i="74"/>
  <c r="H280" i="74"/>
  <c r="B280" i="74"/>
  <c r="B281" i="74" l="1"/>
  <c r="H281" i="74"/>
  <c r="G281" i="74"/>
  <c r="I281" i="74"/>
  <c r="H282" i="74" l="1"/>
  <c r="G282" i="74"/>
  <c r="I282" i="74"/>
  <c r="B282" i="74"/>
  <c r="B283" i="74" l="1"/>
  <c r="I283" i="74"/>
  <c r="H283" i="74"/>
  <c r="G283" i="74"/>
  <c r="G284" i="74" l="1"/>
  <c r="I284" i="74"/>
  <c r="H284" i="74"/>
  <c r="B284" i="74"/>
  <c r="G285" i="74" l="1"/>
  <c r="I285" i="74"/>
  <c r="B285" i="74"/>
  <c r="H285" i="74"/>
  <c r="I286" i="74" l="1"/>
  <c r="B286" i="74"/>
  <c r="G286" i="74"/>
  <c r="H286" i="74"/>
  <c r="H287" i="74" l="1"/>
  <c r="B287" i="74"/>
  <c r="G287" i="74"/>
  <c r="I287" i="74"/>
  <c r="I288" i="74" l="1"/>
  <c r="H288" i="74"/>
  <c r="G288" i="74"/>
  <c r="B288" i="74"/>
  <c r="B289" i="74" l="1"/>
  <c r="I289" i="74"/>
  <c r="G289" i="74"/>
  <c r="H289" i="74"/>
  <c r="H290" i="74" l="1"/>
  <c r="B290" i="74"/>
  <c r="G290" i="74"/>
  <c r="I290" i="74"/>
  <c r="H291" i="74" l="1"/>
  <c r="B291" i="74"/>
  <c r="I291" i="74"/>
  <c r="G291" i="74"/>
  <c r="B292" i="74" l="1"/>
  <c r="I292" i="74"/>
  <c r="G292" i="74"/>
  <c r="H292" i="74"/>
  <c r="B293" i="74" l="1"/>
  <c r="H293" i="74"/>
  <c r="I293" i="74"/>
  <c r="G293" i="74"/>
  <c r="H294" i="74" l="1"/>
  <c r="I294" i="74"/>
  <c r="G294" i="74"/>
  <c r="B294" i="74"/>
  <c r="B295" i="74" l="1"/>
  <c r="I295" i="74"/>
  <c r="G295" i="74"/>
  <c r="H295" i="74"/>
  <c r="B296" i="74" l="1"/>
  <c r="G296" i="74"/>
  <c r="I296" i="74"/>
  <c r="H296" i="74"/>
  <c r="G297" i="74" l="1"/>
  <c r="I297" i="74"/>
  <c r="H297" i="74"/>
  <c r="B297" i="74"/>
  <c r="H298" i="74" l="1"/>
  <c r="I298" i="74"/>
  <c r="G298" i="74"/>
  <c r="B298" i="74"/>
  <c r="H299" i="74" l="1"/>
  <c r="B299" i="74"/>
  <c r="I299" i="74"/>
  <c r="G299" i="74"/>
  <c r="G300" i="74" l="1"/>
  <c r="H300" i="74"/>
  <c r="B300" i="74"/>
  <c r="I300" i="74"/>
  <c r="G301" i="74" l="1"/>
  <c r="H301" i="74"/>
  <c r="I301" i="74"/>
  <c r="B301" i="74"/>
  <c r="B302" i="74" l="1"/>
  <c r="I302" i="74"/>
  <c r="H302" i="74"/>
  <c r="G302" i="74"/>
  <c r="I303" i="74" l="1"/>
  <c r="G303" i="74"/>
  <c r="H303" i="74"/>
  <c r="B303" i="74"/>
  <c r="B304" i="74" l="1"/>
  <c r="G304" i="74"/>
  <c r="I304" i="74"/>
  <c r="H304" i="74"/>
  <c r="B305" i="74" l="1"/>
  <c r="G305" i="74"/>
  <c r="H305" i="74"/>
  <c r="I305" i="74"/>
  <c r="I306" i="74" l="1"/>
  <c r="G306" i="74"/>
  <c r="H306" i="74"/>
  <c r="B306" i="74"/>
  <c r="H307" i="74" l="1"/>
  <c r="I307" i="74"/>
  <c r="B307" i="74"/>
  <c r="G307" i="74"/>
  <c r="H308" i="74" l="1"/>
  <c r="G308" i="74"/>
  <c r="I308" i="74"/>
  <c r="B308" i="74"/>
  <c r="I309" i="74" l="1"/>
  <c r="B309" i="74"/>
  <c r="G309" i="74"/>
  <c r="H309" i="74"/>
  <c r="G310" i="74" l="1"/>
  <c r="B310" i="74"/>
  <c r="H310" i="74"/>
  <c r="I310" i="74"/>
  <c r="H311" i="74" l="1"/>
  <c r="B311" i="74"/>
  <c r="G311" i="74"/>
  <c r="I311" i="74"/>
  <c r="H312" i="74" l="1"/>
  <c r="I312" i="74"/>
  <c r="B312" i="74"/>
  <c r="G312" i="74"/>
  <c r="B313" i="74" l="1"/>
  <c r="H313" i="74"/>
  <c r="G313" i="74"/>
  <c r="I313" i="74"/>
  <c r="B314" i="74" l="1"/>
  <c r="G314" i="74"/>
  <c r="I314" i="74"/>
  <c r="H314" i="74"/>
  <c r="B315" i="74" l="1"/>
  <c r="G315" i="74"/>
  <c r="H315" i="74"/>
  <c r="I315" i="74"/>
  <c r="I316" i="74" l="1"/>
  <c r="H316" i="74"/>
  <c r="B316" i="74"/>
  <c r="G316" i="74"/>
  <c r="G317" i="74" l="1"/>
  <c r="B317" i="74"/>
  <c r="H317" i="74"/>
  <c r="I317" i="74"/>
  <c r="B318" i="74" l="1"/>
  <c r="G318" i="74"/>
  <c r="I318" i="74"/>
  <c r="H318" i="74"/>
  <c r="I319" i="74" l="1"/>
  <c r="B319" i="74"/>
  <c r="G319" i="74"/>
  <c r="H319" i="74"/>
  <c r="I320" i="74" l="1"/>
  <c r="B320" i="74"/>
  <c r="G320" i="74"/>
  <c r="H320" i="74"/>
  <c r="G321" i="74" l="1"/>
  <c r="I321" i="74"/>
  <c r="H321" i="74"/>
  <c r="B321" i="74"/>
  <c r="B322" i="74" l="1"/>
  <c r="G322" i="74"/>
  <c r="H322" i="74"/>
  <c r="I322" i="74"/>
  <c r="H323" i="74" l="1"/>
  <c r="I323" i="74"/>
  <c r="B323" i="74"/>
  <c r="G323" i="74"/>
  <c r="G324" i="74" l="1"/>
  <c r="H324" i="74"/>
  <c r="I324" i="74"/>
  <c r="B324" i="74"/>
  <c r="G325" i="74" l="1"/>
  <c r="H325" i="74"/>
  <c r="B325" i="74"/>
  <c r="I325" i="74"/>
  <c r="H326" i="74" l="1"/>
  <c r="B326" i="74"/>
  <c r="I326" i="74"/>
  <c r="G326" i="74"/>
  <c r="I327" i="74" l="1"/>
  <c r="B327" i="74"/>
  <c r="G327" i="74"/>
  <c r="H327" i="74"/>
  <c r="I328" i="74" l="1"/>
  <c r="B328" i="74"/>
  <c r="H328" i="74"/>
  <c r="G328" i="74"/>
  <c r="I329" i="74" l="1"/>
  <c r="B329" i="74"/>
  <c r="G329" i="74"/>
  <c r="H329" i="74"/>
  <c r="G330" i="74" l="1"/>
  <c r="B330" i="74"/>
  <c r="I330" i="74"/>
  <c r="H330" i="74"/>
  <c r="I331" i="74" l="1"/>
  <c r="H331" i="74"/>
  <c r="B331" i="74"/>
  <c r="G331" i="74"/>
  <c r="B332" i="74" l="1"/>
  <c r="H332" i="74"/>
  <c r="G332" i="74"/>
  <c r="I332" i="74"/>
  <c r="H333" i="74" l="1"/>
  <c r="G333" i="74"/>
  <c r="B333" i="74"/>
  <c r="I333" i="74"/>
  <c r="I334" i="74" l="1"/>
  <c r="G334" i="74"/>
  <c r="H334" i="74"/>
  <c r="B334" i="74"/>
  <c r="H335" i="74" l="1"/>
  <c r="G335" i="74"/>
  <c r="I335" i="74"/>
  <c r="B335" i="74"/>
  <c r="I336" i="74" l="1"/>
  <c r="G336" i="74"/>
  <c r="H336" i="74"/>
  <c r="B336" i="74"/>
  <c r="G337" i="74" l="1"/>
  <c r="I337" i="74"/>
  <c r="B337" i="74"/>
  <c r="H337" i="74"/>
  <c r="B338" i="74" l="1"/>
  <c r="I338" i="74"/>
  <c r="G338" i="74"/>
  <c r="H338" i="74"/>
  <c r="I339" i="74" l="1"/>
  <c r="G339" i="74"/>
  <c r="H339" i="74"/>
  <c r="B339" i="74"/>
  <c r="G340" i="74" l="1"/>
  <c r="I340" i="74"/>
  <c r="H340" i="74"/>
  <c r="B340" i="74"/>
  <c r="I341" i="74" l="1"/>
  <c r="H341" i="74"/>
  <c r="B341" i="74"/>
  <c r="G341" i="74"/>
  <c r="I342" i="74" l="1"/>
  <c r="G342" i="74"/>
  <c r="H342" i="74"/>
  <c r="B342" i="74"/>
  <c r="G343" i="74" l="1"/>
  <c r="I343" i="74"/>
  <c r="B343" i="74"/>
  <c r="H343" i="74"/>
  <c r="I344" i="74" l="1"/>
  <c r="B344" i="74"/>
  <c r="H344" i="74"/>
  <c r="G344" i="74"/>
  <c r="I345" i="74" l="1"/>
  <c r="G345" i="74"/>
  <c r="H345" i="74"/>
  <c r="B345" i="74"/>
  <c r="H346" i="74" l="1"/>
  <c r="B346" i="74"/>
  <c r="I346" i="74"/>
  <c r="G346" i="74"/>
  <c r="I347" i="74" l="1"/>
  <c r="B347" i="74"/>
  <c r="G347" i="74"/>
  <c r="H347" i="74"/>
  <c r="B348" i="74" l="1"/>
  <c r="I348" i="74"/>
  <c r="G348" i="74"/>
  <c r="H348" i="74"/>
  <c r="G349" i="74" l="1"/>
  <c r="H349" i="74"/>
  <c r="B349" i="74"/>
  <c r="I349" i="74"/>
  <c r="I350" i="74" l="1"/>
  <c r="H350" i="74"/>
  <c r="G350" i="74"/>
  <c r="B350" i="74"/>
  <c r="G351" i="74" l="1"/>
  <c r="B351" i="74"/>
  <c r="I351" i="74"/>
  <c r="H351" i="74"/>
  <c r="H352" i="74" l="1"/>
  <c r="G352" i="74"/>
  <c r="B352" i="74"/>
  <c r="I352" i="74"/>
  <c r="I353" i="74" l="1"/>
  <c r="G353" i="74"/>
  <c r="B353" i="74"/>
  <c r="H353" i="74"/>
  <c r="B354" i="74" l="1"/>
  <c r="H354" i="74"/>
  <c r="G354" i="74"/>
  <c r="I354" i="74"/>
  <c r="H355" i="74" l="1"/>
  <c r="B355" i="74"/>
  <c r="G355" i="74"/>
  <c r="I355" i="74"/>
  <c r="I356" i="74" l="1"/>
  <c r="B356" i="74"/>
  <c r="H356" i="74"/>
  <c r="G356" i="74"/>
  <c r="B357" i="74" l="1"/>
  <c r="I357" i="74"/>
  <c r="G357" i="74"/>
  <c r="H357" i="74"/>
  <c r="G358" i="74" l="1"/>
  <c r="I358" i="74"/>
  <c r="B358" i="74"/>
  <c r="H358" i="74"/>
  <c r="I359" i="74" l="1"/>
  <c r="H359" i="74"/>
  <c r="G359" i="74"/>
  <c r="B359" i="74"/>
  <c r="B360" i="74" l="1"/>
  <c r="I360" i="74"/>
  <c r="H360" i="74"/>
  <c r="G360" i="74"/>
  <c r="H361" i="74" l="1"/>
  <c r="G361" i="74"/>
  <c r="I361" i="74"/>
  <c r="B361" i="74"/>
  <c r="H362" i="74" l="1"/>
  <c r="G362" i="74"/>
  <c r="I362" i="74"/>
  <c r="B362" i="74"/>
  <c r="I363" i="74" l="1"/>
  <c r="B363" i="74"/>
  <c r="G363" i="74"/>
  <c r="H363" i="74"/>
  <c r="H364" i="74" l="1"/>
  <c r="G364" i="74"/>
  <c r="I364" i="74"/>
  <c r="B364" i="74"/>
  <c r="I365" i="74" l="1"/>
  <c r="B365" i="74"/>
  <c r="H365" i="74"/>
  <c r="G365" i="74"/>
  <c r="I366" i="74" l="1"/>
  <c r="G366" i="74"/>
  <c r="B366" i="74"/>
  <c r="H366" i="74"/>
  <c r="H367" i="74" l="1"/>
  <c r="G367" i="74"/>
  <c r="I367" i="74"/>
  <c r="B367" i="74"/>
  <c r="B368" i="74" l="1"/>
  <c r="I368" i="74"/>
  <c r="H368" i="74"/>
  <c r="G368" i="74"/>
  <c r="B369" i="74" l="1"/>
  <c r="H369" i="74"/>
  <c r="G369" i="74"/>
  <c r="I369" i="74"/>
  <c r="G370" i="74" l="1"/>
  <c r="B370" i="74"/>
  <c r="I370" i="74"/>
  <c r="H370" i="74"/>
  <c r="I371" i="74" l="1"/>
  <c r="B371" i="74"/>
  <c r="G371" i="74"/>
  <c r="H371" i="74"/>
  <c r="H372" i="74" l="1"/>
  <c r="B372" i="74"/>
  <c r="I372" i="74"/>
  <c r="G372" i="74"/>
  <c r="H373" i="74" l="1"/>
  <c r="G373" i="74"/>
  <c r="I373" i="74"/>
  <c r="B373" i="74"/>
  <c r="B374" i="74" l="1"/>
  <c r="G374" i="74"/>
  <c r="H374" i="74"/>
  <c r="I374" i="74"/>
  <c r="H375" i="74" l="1"/>
  <c r="I375" i="74"/>
  <c r="G375" i="74"/>
  <c r="B375" i="74"/>
  <c r="B376" i="74" l="1"/>
  <c r="I376" i="74"/>
  <c r="H376" i="74"/>
  <c r="G376" i="74"/>
  <c r="H377" i="74" l="1"/>
  <c r="B377" i="74"/>
  <c r="G377" i="74"/>
  <c r="I377" i="74"/>
  <c r="G378" i="74" l="1"/>
  <c r="H378" i="74"/>
  <c r="B378" i="74"/>
  <c r="I378" i="74"/>
  <c r="H379" i="74" l="1"/>
  <c r="B379" i="74"/>
  <c r="G379" i="74"/>
  <c r="I379" i="74"/>
  <c r="H380" i="74" l="1"/>
  <c r="B380" i="74"/>
  <c r="I380" i="74"/>
  <c r="G380" i="74"/>
  <c r="B381" i="74" l="1"/>
  <c r="G381" i="74"/>
  <c r="H381" i="74"/>
  <c r="I381" i="74"/>
  <c r="I382" i="74" l="1"/>
  <c r="B382" i="74"/>
  <c r="H382" i="74"/>
  <c r="G382" i="74"/>
  <c r="H383" i="74" l="1"/>
  <c r="B383" i="74"/>
  <c r="G383" i="74"/>
  <c r="I383" i="74"/>
  <c r="G384" i="74" l="1"/>
  <c r="B384" i="74"/>
  <c r="H384" i="74"/>
  <c r="I384" i="74"/>
  <c r="B385" i="74" l="1"/>
  <c r="H385" i="74"/>
  <c r="I385" i="74"/>
  <c r="G385" i="74"/>
  <c r="G386" i="74" l="1"/>
  <c r="H386" i="74"/>
  <c r="I386" i="74"/>
  <c r="B386" i="74"/>
  <c r="I387" i="74" l="1"/>
  <c r="H387" i="74"/>
  <c r="G387" i="74"/>
  <c r="B387" i="74"/>
  <c r="H388" i="74" l="1"/>
  <c r="I388" i="74"/>
  <c r="G388" i="74"/>
  <c r="B388" i="74"/>
  <c r="H389" i="74" l="1"/>
  <c r="B389" i="74"/>
  <c r="I389" i="74"/>
  <c r="G389" i="74"/>
  <c r="B390" i="74" l="1"/>
  <c r="G390" i="74"/>
  <c r="I390" i="74"/>
  <c r="H390" i="74"/>
  <c r="G391" i="74" l="1"/>
  <c r="H391" i="74"/>
  <c r="I391" i="74"/>
  <c r="B391" i="74"/>
  <c r="I392" i="74" l="1"/>
  <c r="G392" i="74"/>
  <c r="H392" i="74"/>
  <c r="B392" i="74"/>
  <c r="B393" i="74" l="1"/>
  <c r="H393" i="74"/>
  <c r="I393" i="74"/>
  <c r="G393" i="74"/>
  <c r="H394" i="74" l="1"/>
  <c r="B394" i="74"/>
  <c r="I394" i="74"/>
  <c r="G394" i="74"/>
  <c r="B395" i="74" l="1"/>
  <c r="I395" i="74"/>
  <c r="H395" i="74"/>
  <c r="G395" i="74"/>
  <c r="I396" i="74" l="1"/>
  <c r="B396" i="74"/>
  <c r="G396" i="74"/>
  <c r="H396" i="74"/>
  <c r="H397" i="74" l="1"/>
  <c r="G397" i="74"/>
  <c r="I397" i="74"/>
  <c r="B397" i="74"/>
  <c r="G398" i="74" l="1"/>
  <c r="H398" i="74"/>
  <c r="I398" i="74"/>
  <c r="B398" i="74"/>
  <c r="G399" i="74" l="1"/>
  <c r="B399" i="74"/>
  <c r="I399" i="74"/>
  <c r="H399" i="74"/>
  <c r="B400" i="74" l="1"/>
  <c r="G400" i="74"/>
  <c r="H400" i="74"/>
  <c r="I400" i="74"/>
  <c r="G401" i="74" l="1"/>
  <c r="I401" i="74"/>
  <c r="B401" i="74"/>
  <c r="H401" i="74"/>
  <c r="H402" i="74" l="1"/>
  <c r="I402" i="74"/>
  <c r="B402" i="74"/>
  <c r="G402" i="74"/>
  <c r="I403" i="74" l="1"/>
  <c r="H403" i="74"/>
  <c r="G403" i="74"/>
  <c r="B403" i="74"/>
  <c r="I404" i="74" l="1"/>
  <c r="G404" i="74"/>
  <c r="B404" i="74"/>
  <c r="H404" i="74"/>
  <c r="B405" i="74" l="1"/>
  <c r="H405" i="74"/>
  <c r="I405" i="74"/>
  <c r="G405" i="74"/>
  <c r="B406" i="74" l="1"/>
  <c r="I406" i="74"/>
  <c r="G406" i="74"/>
  <c r="H406" i="74"/>
  <c r="H407" i="74" l="1"/>
  <c r="I407" i="74"/>
  <c r="G407" i="74"/>
  <c r="B407" i="74"/>
  <c r="I408" i="74" l="1"/>
  <c r="I42" i="74" s="1"/>
  <c r="H408" i="74"/>
  <c r="H42" i="74" s="1"/>
  <c r="B408" i="74"/>
  <c r="G408" i="74"/>
  <c r="G42"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15" authorId="0" shapeId="0" xr:uid="{00000000-0006-0000-0500-000001000000}">
      <text>
        <r>
          <rPr>
            <sz val="10"/>
            <color indexed="81"/>
            <rFont val="Tahoma"/>
            <family val="2"/>
          </rPr>
          <t>These cells will display if "Scheme pipeline" is chosen in Cover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C23" authorId="0" shapeId="0" xr:uid="{00000000-0006-0000-0800-000001000000}">
      <text>
        <r>
          <rPr>
            <sz val="9"/>
            <color indexed="81"/>
            <rFont val="Tahoma"/>
            <family val="2"/>
          </rPr>
          <t>The sum of percentages should not be greater than 100%. If above 100%, the cell will be shaded red. If less than 100%, it will be shaded in light red.</t>
        </r>
      </text>
    </comment>
    <comment ref="C35" authorId="0" shapeId="0" xr:uid="{00000000-0006-0000-0800-000002000000}">
      <text>
        <r>
          <rPr>
            <sz val="9"/>
            <color indexed="81"/>
            <rFont val="Tahoma"/>
            <family val="2"/>
          </rPr>
          <t>The sum of percentages should not be greater than 100%. If above 100%, the cell will be shaded red. If less than 100%, it will be shaded in light red.</t>
        </r>
      </text>
    </comment>
    <comment ref="C47" authorId="0" shapeId="0" xr:uid="{00000000-0006-0000-0800-000003000000}">
      <text>
        <r>
          <rPr>
            <sz val="9"/>
            <color indexed="81"/>
            <rFont val="Tahoma"/>
            <family val="2"/>
          </rPr>
          <t>The sum of percentages should not be greater than 100%. If above 100%, the cell will be shaded red. If less than 100%, it will be shaded in light red.</t>
        </r>
      </text>
    </comment>
    <comment ref="C66" authorId="0" shapeId="0" xr:uid="{00000000-0006-0000-0800-000004000000}">
      <text>
        <r>
          <rPr>
            <sz val="9"/>
            <color indexed="81"/>
            <rFont val="Tahoma"/>
            <family val="2"/>
          </rPr>
          <t>The sum of percentages should not be greater than 100%. If above 100%, the cell will be shaded red. If less than 100%, it will be shaded in light red.</t>
        </r>
      </text>
    </comment>
    <comment ref="C78" authorId="0" shapeId="0" xr:uid="{00000000-0006-0000-0800-000005000000}">
      <text>
        <r>
          <rPr>
            <sz val="9"/>
            <color indexed="81"/>
            <rFont val="Tahoma"/>
            <family val="2"/>
          </rPr>
          <t>The sum of percentages should not be greater than 100%. If above 100%, the cell will be shaded red. If less than 100%, it will be shaded in light red.</t>
        </r>
      </text>
    </comment>
    <comment ref="C90" authorId="0" shapeId="0" xr:uid="{00000000-0006-0000-0800-000006000000}">
      <text>
        <r>
          <rPr>
            <sz val="9"/>
            <color indexed="81"/>
            <rFont val="Tahoma"/>
            <family val="2"/>
          </rPr>
          <t>The sum of percentages should not be greater than 100%. If above 100%, the cell will be shaded red. If less than 100%, it will be shaded in 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Zhang, Cathy</author>
  </authors>
  <commentList>
    <comment ref="D19" authorId="0" shapeId="0" xr:uid="{00000000-0006-0000-1200-000001000000}">
      <text>
        <r>
          <rPr>
            <sz val="9"/>
            <color indexed="81"/>
            <rFont val="Tahoma"/>
            <family val="2"/>
          </rPr>
          <t>This item only to be used for periods from the implementation of the revised accounting standard on leases AASB16</t>
        </r>
      </text>
    </comment>
    <comment ref="D27" authorId="0" shapeId="0" xr:uid="{00000000-0006-0000-1200-000002000000}">
      <text>
        <r>
          <rPr>
            <sz val="9"/>
            <color indexed="81"/>
            <rFont val="Tahoma"/>
            <family val="2"/>
          </rPr>
          <t>This item only to be used for periods from the implementation of the revised accounting standard on leases AASB16</t>
        </r>
      </text>
    </comment>
    <comment ref="D34" authorId="0" shapeId="0" xr:uid="{00000000-0006-0000-1200-000003000000}">
      <text>
        <r>
          <rPr>
            <sz val="9"/>
            <color indexed="81"/>
            <rFont val="Tahoma"/>
            <family val="2"/>
          </rPr>
          <t>This item only to be used for periods from the implementation of the revised accounting standard on leases AASB16</t>
        </r>
      </text>
    </comment>
    <comment ref="D35" authorId="1" shapeId="0" xr:uid="{00000000-0006-0000-1200-000004000000}">
      <text>
        <r>
          <rPr>
            <sz val="9"/>
            <color indexed="81"/>
            <rFont val="Tahoma"/>
            <family val="2"/>
          </rPr>
          <t xml:space="preserve">This item should not be greater than </t>
        </r>
        <r>
          <rPr>
            <i/>
            <sz val="9"/>
            <color indexed="81"/>
            <rFont val="Tahoma"/>
            <family val="2"/>
          </rPr>
          <t xml:space="preserve">Revenue </t>
        </r>
        <r>
          <rPr>
            <sz val="9"/>
            <color indexed="81"/>
            <rFont val="Tahoma"/>
            <family val="2"/>
          </rPr>
          <t>within the year. If incorrect figure is recorded, the cell will be shaded 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31" authorId="0" shapeId="0" xr:uid="{00000000-0006-0000-1500-000001000000}">
      <text>
        <r>
          <rPr>
            <sz val="9"/>
            <color indexed="81"/>
            <rFont val="Tahoma"/>
            <family val="2"/>
          </rPr>
          <t>This item should not be greater than 100%. If above 100%, the cell will be shaded red. If less than 100%, it will be shaded in light red.</t>
        </r>
      </text>
    </comment>
  </commentList>
</comments>
</file>

<file path=xl/sharedStrings.xml><?xml version="1.0" encoding="utf-8"?>
<sst xmlns="http://schemas.openxmlformats.org/spreadsheetml/2006/main" count="1831" uniqueCount="785">
  <si>
    <t>Gas Pipeline Operator</t>
  </si>
  <si>
    <t>Part 10 Financial Reporting Template</t>
  </si>
  <si>
    <t xml:space="preserve">This template is to be uploaded by a Gas Pipeline Operator to its website to fulfil its annual reporting obligations. </t>
  </si>
  <si>
    <t>Basis of preparation document is to be uploaded alongside this financial template, providing assumptions, methodologies, and other relevant information.</t>
  </si>
  <si>
    <t>Colour coding of input sheets:</t>
  </si>
  <si>
    <t>Light Blue / Dark Blue = AER instructions / headings</t>
  </si>
  <si>
    <t>Orange = Input cells</t>
  </si>
  <si>
    <t>Grey = Not applicable/No inputs required</t>
  </si>
  <si>
    <t>Leave coloured cells blank if no information exists - PLEASE DO NOT ENTER TEXT unless specifically requested to do so.</t>
  </si>
  <si>
    <t>All dollar amounts are to be unrounded, and in nominal terms.</t>
  </si>
  <si>
    <t>Service provider:</t>
  </si>
  <si>
    <t xml:space="preserve">Australian business number: </t>
  </si>
  <si>
    <t>Pipeline name:</t>
  </si>
  <si>
    <t>Type of regulated pipeline:</t>
  </si>
  <si>
    <t>Reporting period start date:</t>
  </si>
  <si>
    <t>Reporting period end date:</t>
  </si>
  <si>
    <t xml:space="preserve">Publication date of this financial report: </t>
  </si>
  <si>
    <t>Reported information is current as at:</t>
  </si>
  <si>
    <t>Has any information in this template been amended since last published within this current reporting period?</t>
  </si>
  <si>
    <t>Basis of preparation ID</t>
  </si>
  <si>
    <t>Business address</t>
  </si>
  <si>
    <t>Address</t>
  </si>
  <si>
    <t>Suburb</t>
  </si>
  <si>
    <t>State</t>
  </si>
  <si>
    <t>Postcode</t>
  </si>
  <si>
    <t>Postal address</t>
  </si>
  <si>
    <t>Contact name/s</t>
  </si>
  <si>
    <t>Contact phone/s</t>
  </si>
  <si>
    <t>Contact email address/s</t>
  </si>
  <si>
    <t xml:space="preserve"> </t>
  </si>
  <si>
    <t xml:space="preserve">Year ending </t>
  </si>
  <si>
    <t>CONTENTS</t>
  </si>
  <si>
    <t>SUMMARY</t>
  </si>
  <si>
    <t>Financial summary</t>
  </si>
  <si>
    <t>Data visualisation</t>
  </si>
  <si>
    <t>Pricing benchmarks summary</t>
  </si>
  <si>
    <t>1. PIPELINE INFORMATION</t>
  </si>
  <si>
    <t>2. REVENUE AND EXPENSES</t>
  </si>
  <si>
    <t>2.1 Profit &amp; Loss by component</t>
  </si>
  <si>
    <t>2.2 Allocation to pipeline services</t>
  </si>
  <si>
    <t xml:space="preserve">2.3 Revenue contributions </t>
  </si>
  <si>
    <t>2.4 Indirect revenue</t>
  </si>
  <si>
    <t>2.5 Shared expenses</t>
  </si>
  <si>
    <t>3.1 ASSET VALUE - DEPRICIATED BOOK VALUE METHOD (DBVM)</t>
  </si>
  <si>
    <t>3.3 Asset useful life</t>
  </si>
  <si>
    <t>3.2 ASSET VALUE - REGULATORY ASSET BASE (RAB)</t>
  </si>
  <si>
    <t>3.4 Asset impairment</t>
  </si>
  <si>
    <t>3.5 Depreciation amortisation</t>
  </si>
  <si>
    <t>3.6 Shared supporting assets</t>
  </si>
  <si>
    <t>4. ASSET VALUE - RECOVERED CAPITAL METHOD (RCM)</t>
  </si>
  <si>
    <t>4.1 Pipelines capex</t>
  </si>
  <si>
    <t>5. HISTORICAL DEMAND</t>
  </si>
  <si>
    <t>6. PRICING TEMPLATE</t>
  </si>
  <si>
    <t>Part 10 Financial Reporting</t>
  </si>
  <si>
    <t>All numbers are expressed in $nominal.</t>
  </si>
  <si>
    <t>Profit and loss (Table 2.1.1)</t>
  </si>
  <si>
    <t>Total</t>
  </si>
  <si>
    <t>Direct revenue</t>
  </si>
  <si>
    <t>Indirect revenue allocated</t>
  </si>
  <si>
    <t>Total revenue</t>
  </si>
  <si>
    <t>Direct expenses</t>
  </si>
  <si>
    <t>Shared expenses allocated</t>
  </si>
  <si>
    <t>Total expenses</t>
  </si>
  <si>
    <t>Earnings before interest and tax (EBIT)</t>
  </si>
  <si>
    <t xml:space="preserve">Depreciated book value method (Table 3.1.1 for Non-scheme pipelines) </t>
  </si>
  <si>
    <t>Value as at current reporting period</t>
  </si>
  <si>
    <t xml:space="preserve">Total assets </t>
  </si>
  <si>
    <t>Return on assets</t>
  </si>
  <si>
    <t xml:space="preserve">Regulatory Asset Base (Table 3.2.1 for Scheme pipelines) </t>
  </si>
  <si>
    <t>Recovered capital method  (Table 4.1)</t>
  </si>
  <si>
    <t>Total assets</t>
  </si>
  <si>
    <t>Revenue &amp; Expense allocation to pipeline services</t>
  </si>
  <si>
    <t>Historical demand</t>
  </si>
  <si>
    <t>Price benchmarks</t>
  </si>
  <si>
    <t>Total cost per unit</t>
  </si>
  <si>
    <t>Measurement unit</t>
  </si>
  <si>
    <t>Low</t>
  </si>
  <si>
    <t>High</t>
  </si>
  <si>
    <t>Firm forward haul transportation service</t>
  </si>
  <si>
    <t>$/GJ/day of Pipeline MDQ</t>
  </si>
  <si>
    <t>Backhaul service</t>
  </si>
  <si>
    <t>Interruptible or as available transportation service</t>
  </si>
  <si>
    <t>Firm stand-alone compression service</t>
  </si>
  <si>
    <t>Interruptible or as available stand-alone compression service</t>
  </si>
  <si>
    <t>Park service</t>
  </si>
  <si>
    <t>Park and loan services</t>
  </si>
  <si>
    <t>Capacity trading service</t>
  </si>
  <si>
    <t>$/GJ of MDQ traded</t>
  </si>
  <si>
    <t>In pipe trading service</t>
  </si>
  <si>
    <t>$/GJ traded</t>
  </si>
  <si>
    <t>Other</t>
  </si>
  <si>
    <t>Pipeline information</t>
  </si>
  <si>
    <t>Table 1.1: Pipeline details</t>
  </si>
  <si>
    <t>Pipeline location</t>
  </si>
  <si>
    <t>Pipeline length (kilometres)</t>
  </si>
  <si>
    <t>Number of customers</t>
  </si>
  <si>
    <t>Service type</t>
  </si>
  <si>
    <t>Pipeline nameplate capacity</t>
  </si>
  <si>
    <t>Construction date</t>
  </si>
  <si>
    <t>Table 1.2: Pipeline services provided</t>
  </si>
  <si>
    <t>Service description</t>
  </si>
  <si>
    <t>Provided to non related parties</t>
  </si>
  <si>
    <t>Provided to related parties</t>
  </si>
  <si>
    <t>Transportation services</t>
  </si>
  <si>
    <t>Backhaul services</t>
  </si>
  <si>
    <t>Stand-alone compression services</t>
  </si>
  <si>
    <t>Storage services</t>
  </si>
  <si>
    <t>Park services</t>
  </si>
  <si>
    <t>Trading services</t>
  </si>
  <si>
    <t>Other (please specify)</t>
  </si>
  <si>
    <t>Revenue and expenses</t>
  </si>
  <si>
    <t>Table 2.1:  Statement of pipeline revenue and expenses by service</t>
  </si>
  <si>
    <t>Basis of Preparation ID</t>
  </si>
  <si>
    <t>Description</t>
  </si>
  <si>
    <t>Earnings before interest and tax (EBIT) by service</t>
  </si>
  <si>
    <t>$ nominal</t>
  </si>
  <si>
    <t>Revenue</t>
  </si>
  <si>
    <t>Expenses</t>
  </si>
  <si>
    <t>Total net revenue</t>
  </si>
  <si>
    <t>Total Expenses</t>
  </si>
  <si>
    <t>Profit &amp; Loss statement by component</t>
  </si>
  <si>
    <t>Table 2.1.1:  Statement of pipeline revenue and expenses by component</t>
  </si>
  <si>
    <t>Current reporting period</t>
  </si>
  <si>
    <t>Previous reporting period</t>
  </si>
  <si>
    <t>Amounts excluding related party transactions</t>
  </si>
  <si>
    <t>Related party transactions</t>
  </si>
  <si>
    <t>Direct revenue by pipeline</t>
  </si>
  <si>
    <t>Total service revenue</t>
  </si>
  <si>
    <t>Customer contribution revenue</t>
  </si>
  <si>
    <t>Government contribution revenue</t>
  </si>
  <si>
    <t>Profit from sale of fixed assets</t>
  </si>
  <si>
    <t>Other direct revenue</t>
  </si>
  <si>
    <t>Total direct revenue by pipeline</t>
  </si>
  <si>
    <t>Indirect revenue allocated to pipeline</t>
  </si>
  <si>
    <t>Other indirect revenue</t>
  </si>
  <si>
    <t>Total indirect revenue by pipeline</t>
  </si>
  <si>
    <t>Total revenue by pipeline</t>
  </si>
  <si>
    <t>Direct expenses by pipeline</t>
  </si>
  <si>
    <t>Repairs and maintenance</t>
  </si>
  <si>
    <t>Wages</t>
  </si>
  <si>
    <t xml:space="preserve">Depreciation </t>
  </si>
  <si>
    <t>Insurance</t>
  </si>
  <si>
    <t>Licence and regulatory costs</t>
  </si>
  <si>
    <t>Directly attributable finance charges</t>
  </si>
  <si>
    <t>Leasing and rental costs</t>
  </si>
  <si>
    <t>Other direct expenses</t>
  </si>
  <si>
    <t>Total direct expenses by pipeline</t>
  </si>
  <si>
    <t>Shared expenses by pipeline</t>
  </si>
  <si>
    <t>Employee expenses</t>
  </si>
  <si>
    <t>Information technology and communication costs</t>
  </si>
  <si>
    <t>Indirect operating expenses</t>
  </si>
  <si>
    <t xml:space="preserve">Shared asset depreciation </t>
  </si>
  <si>
    <t>Rental and leasing costs</t>
  </si>
  <si>
    <t>Borrowing costs</t>
  </si>
  <si>
    <t>Loss from sale of shared fixed assets</t>
  </si>
  <si>
    <t>Impairment losses (nature of the impairment loss)</t>
  </si>
  <si>
    <t>Other shared expenses</t>
  </si>
  <si>
    <t>Total shared expenses allocated to pipeline</t>
  </si>
  <si>
    <t>Total expenses by pipeline</t>
  </si>
  <si>
    <t>Allocation to pipeline services</t>
  </si>
  <si>
    <t>Table 2.2.1:  Revenue by service</t>
  </si>
  <si>
    <t>Reporting period</t>
  </si>
  <si>
    <t>Allocation to pipeline service</t>
  </si>
  <si>
    <t>%</t>
  </si>
  <si>
    <t>Direct revenue (excl. capital contributions)</t>
  </si>
  <si>
    <t>Total direct revenue (excl. capital contributions)</t>
  </si>
  <si>
    <t>Capital contributions</t>
  </si>
  <si>
    <t>Total capital contributions</t>
  </si>
  <si>
    <t>Total indirect revenue</t>
  </si>
  <si>
    <t>Table 2.2.2:  Expenses by service</t>
  </si>
  <si>
    <t>Direct expenses (excl. depreciation)</t>
  </si>
  <si>
    <t>Total direct expenses (excl. depreciation)</t>
  </si>
  <si>
    <t>Depreciation</t>
  </si>
  <si>
    <t>Total depreciation</t>
  </si>
  <si>
    <t>Shared expenses allocated (excl. depreciation)</t>
  </si>
  <si>
    <t>Total shared expenses (excl. depreciation)</t>
  </si>
  <si>
    <t>Revenue contributions</t>
  </si>
  <si>
    <t>Table 2.3.1: Customer contributions received</t>
  </si>
  <si>
    <t>Table 2.3.2: Government contributions received</t>
  </si>
  <si>
    <t>Source</t>
  </si>
  <si>
    <t xml:space="preserve">Total </t>
  </si>
  <si>
    <t>Indirect revenue</t>
  </si>
  <si>
    <t>Please ensure allocation methodologies are explained in sufficient detail in the Basis of Preparation as required under the Guideline.</t>
  </si>
  <si>
    <t>Table 2.4.1: Indirect revenue allocation</t>
  </si>
  <si>
    <t xml:space="preserve">Description </t>
  </si>
  <si>
    <t>Indirect revenue excluding related parties</t>
  </si>
  <si>
    <t>Indirect revenue from related parties</t>
  </si>
  <si>
    <t>% allocated to pipeline</t>
  </si>
  <si>
    <t>Total allocated to pipeline excluding related parties</t>
  </si>
  <si>
    <t>Total related party amounts allocated to pipeline</t>
  </si>
  <si>
    <t>Total amounts allocated to pipeline</t>
  </si>
  <si>
    <t>(list each individual revenue item)</t>
  </si>
  <si>
    <t>Shared expenses</t>
  </si>
  <si>
    <t>Table 2.5.1: Shared expense allocation</t>
  </si>
  <si>
    <t>Income statement account applied to</t>
  </si>
  <si>
    <t>Shared expenses excluding related parties</t>
  </si>
  <si>
    <t>Shared expenses paid to related parties</t>
  </si>
  <si>
    <t xml:space="preserve"> (list each individual cost)</t>
  </si>
  <si>
    <t xml:space="preserve">please identify other shared expenses </t>
  </si>
  <si>
    <t>Asset value - Depreciated Book Value Method (DBVM) (For Non-scheme pipeline only)</t>
  </si>
  <si>
    <t xml:space="preserve">This template is for a non-indexed asset value based on the Australian Accounting Standards, featuring allowances for acquisition costs and asset impairments, for non-scheme pipelines.
</t>
  </si>
  <si>
    <t>Table 3.1.1: Pipeline assets (DBVM)</t>
  </si>
  <si>
    <t>Pipeline assets</t>
  </si>
  <si>
    <t xml:space="preserve">Pipelines </t>
  </si>
  <si>
    <t>Opening Cost Base</t>
  </si>
  <si>
    <t>Additions</t>
  </si>
  <si>
    <t>Capitalised maintenance or improvements</t>
  </si>
  <si>
    <t>Total capitalised pipeline construction costs</t>
  </si>
  <si>
    <t>Depreciation (excl. impairment)</t>
  </si>
  <si>
    <t>Impairment losses</t>
  </si>
  <si>
    <t>Disposals or early termination (at cost)</t>
  </si>
  <si>
    <t>Closing pipelines carrying value</t>
  </si>
  <si>
    <t xml:space="preserve">Compressors </t>
  </si>
  <si>
    <t>Closing compressors carrying value</t>
  </si>
  <si>
    <t xml:space="preserve">City Gates, supply regulators and valve stations </t>
  </si>
  <si>
    <t>Closing city gates, supply regulators and valve stations carrying value</t>
  </si>
  <si>
    <t xml:space="preserve">Metering </t>
  </si>
  <si>
    <t xml:space="preserve">Additions </t>
  </si>
  <si>
    <t>Closing metering carrying value</t>
  </si>
  <si>
    <t xml:space="preserve">Odorant plants </t>
  </si>
  <si>
    <t>Closing odorant plants carrying value</t>
  </si>
  <si>
    <t xml:space="preserve">SCADA (Communications) </t>
  </si>
  <si>
    <t>Closing SCADA carrying value</t>
  </si>
  <si>
    <t xml:space="preserve">Buildings </t>
  </si>
  <si>
    <t>Closing buildings carrying value</t>
  </si>
  <si>
    <t>Land and easements</t>
  </si>
  <si>
    <t>Closing land and easements carrying value</t>
  </si>
  <si>
    <t>Other depreciable pipeline assets</t>
  </si>
  <si>
    <t>Closing other depreciable pipeline assets carrying value</t>
  </si>
  <si>
    <t xml:space="preserve">Leased assets </t>
  </si>
  <si>
    <t>Depreciation (Amortisation) (excl. impairment)</t>
  </si>
  <si>
    <t>Closing leased asset carrying value</t>
  </si>
  <si>
    <t>Other non-depreciable pipeline assets</t>
  </si>
  <si>
    <t>Closing other non-depreciable pipeline assets carrying value</t>
  </si>
  <si>
    <t>Total pipeline assets</t>
  </si>
  <si>
    <t>Shared supporting assets allocated</t>
  </si>
  <si>
    <t>Shared property, plant and equipment</t>
  </si>
  <si>
    <t>Closing shared property, plant and equipment carrying value</t>
  </si>
  <si>
    <t>Shared leased assets</t>
  </si>
  <si>
    <t>Closing leased assets carrying value</t>
  </si>
  <si>
    <t xml:space="preserve">Inventories </t>
  </si>
  <si>
    <t>Deferred tax assets</t>
  </si>
  <si>
    <r>
      <t>Other</t>
    </r>
    <r>
      <rPr>
        <b/>
        <sz val="10"/>
        <color indexed="10"/>
        <rFont val="Arial"/>
        <family val="2"/>
      </rPr>
      <t xml:space="preserve"> </t>
    </r>
    <r>
      <rPr>
        <b/>
        <sz val="10"/>
        <color indexed="51"/>
        <rFont val="Arial"/>
        <family val="2"/>
      </rPr>
      <t>assets</t>
    </r>
  </si>
  <si>
    <t xml:space="preserve">Total shared supporting assets allocated </t>
  </si>
  <si>
    <t>TOTAL ASSETS</t>
  </si>
  <si>
    <t>Table 3.1.2:  Initial costs of pipeline assets (DBVM)</t>
  </si>
  <si>
    <t>Date RAB estabilished</t>
  </si>
  <si>
    <t>Asset value - Regulatory Asset Base (RAB) (For Scheme pipeline only)</t>
  </si>
  <si>
    <t>This template is for a non-indexed asset value derived from a regulator-determined initial regulatory asset base and capital expenditure with straight-line depreciation, for scheme pipelines.</t>
  </si>
  <si>
    <t>Table 3.2.1: Pipeline assets (RAB)</t>
  </si>
  <si>
    <t>Year</t>
  </si>
  <si>
    <t xml:space="preserve"> Pipelines </t>
  </si>
  <si>
    <t>$</t>
  </si>
  <si>
    <t xml:space="preserve"> Nominal Opening Regulatory Asset Base  </t>
  </si>
  <si>
    <t xml:space="preserve"> Nominal Capex </t>
  </si>
  <si>
    <t xml:space="preserve"> Total capitalised pipeline construction costs </t>
  </si>
  <si>
    <t xml:space="preserve"> Less Asset disposal (at cost) </t>
  </si>
  <si>
    <t xml:space="preserve"> Less Nominal Actual Regulatory Depreciation  </t>
  </si>
  <si>
    <t xml:space="preserve"> Closing pipeline carrying value </t>
  </si>
  <si>
    <t xml:space="preserve"> Compressors </t>
  </si>
  <si>
    <t xml:space="preserve"> Additions and improvements capitalised </t>
  </si>
  <si>
    <t xml:space="preserve"> Less Depreciation of compressors </t>
  </si>
  <si>
    <t xml:space="preserve"> Less Disposal (at cost) </t>
  </si>
  <si>
    <t xml:space="preserve"> Closing compressors carrying value </t>
  </si>
  <si>
    <t xml:space="preserve"> City Gates, supply regulators and valve stations </t>
  </si>
  <si>
    <t xml:space="preserve"> Improvements capitalised </t>
  </si>
  <si>
    <t xml:space="preserve"> Less Depreciation of city gates, supply regulators and valve stations </t>
  </si>
  <si>
    <t xml:space="preserve"> Closing city gates, supply regulators and valve stations carrying value </t>
  </si>
  <si>
    <t xml:space="preserve"> Metering </t>
  </si>
  <si>
    <t xml:space="preserve"> Less Depreciation of metering </t>
  </si>
  <si>
    <t xml:space="preserve"> Closing Metering </t>
  </si>
  <si>
    <t xml:space="preserve"> Odorant plants </t>
  </si>
  <si>
    <t xml:space="preserve"> Less Depreciation of odourant plants </t>
  </si>
  <si>
    <t xml:space="preserve"> Closing odourant plants carrying value </t>
  </si>
  <si>
    <t xml:space="preserve"> SCADA (Communications) </t>
  </si>
  <si>
    <t xml:space="preserve"> Less Depreciation of SCADA </t>
  </si>
  <si>
    <t xml:space="preserve"> Closing SCADA carrying value </t>
  </si>
  <si>
    <t xml:space="preserve"> Buildings </t>
  </si>
  <si>
    <t xml:space="preserve"> Less Depreciation of buildings </t>
  </si>
  <si>
    <t xml:space="preserve"> Closing buildings carrying value </t>
  </si>
  <si>
    <t xml:space="preserve"> Land and easements </t>
  </si>
  <si>
    <t xml:space="preserve"> Less Depreciation of land and easement </t>
  </si>
  <si>
    <t xml:space="preserve"> Closing land and easements carrying value </t>
  </si>
  <si>
    <t xml:space="preserve"> Other depreciable pipeline assets </t>
  </si>
  <si>
    <t xml:space="preserve"> Less Depreciation/amortisation </t>
  </si>
  <si>
    <t xml:space="preserve"> Closing other depreciable pipeline assets carrying value </t>
  </si>
  <si>
    <t xml:space="preserve"> Leased pipeline assets </t>
  </si>
  <si>
    <t xml:space="preserve"> Closing leased pipeline assets carrying value </t>
  </si>
  <si>
    <t xml:space="preserve"> Total pipeline assets </t>
  </si>
  <si>
    <t xml:space="preserve"> Shared supporting assets (RAB)</t>
  </si>
  <si>
    <t xml:space="preserve"> Less Shared property, plant and equipment depreciation </t>
  </si>
  <si>
    <t xml:space="preserve"> Less disposals of shared supporting assets </t>
  </si>
  <si>
    <t xml:space="preserve"> Closing shared property, plant and equipment </t>
  </si>
  <si>
    <t xml:space="preserve"> Shared leased assets </t>
  </si>
  <si>
    <t xml:space="preserve"> Closing shared leased assets carrying value </t>
  </si>
  <si>
    <t xml:space="preserve"> Opening other assets </t>
  </si>
  <si>
    <t xml:space="preserve"> Change in other assets </t>
  </si>
  <si>
    <t xml:space="preserve"> Closing other assets </t>
  </si>
  <si>
    <t xml:space="preserve"> Total shared supporting assets allocated </t>
  </si>
  <si>
    <t xml:space="preserve"> TOTAL ASSETS </t>
  </si>
  <si>
    <t>Asset useful life</t>
  </si>
  <si>
    <t>Table 3.3.1: Asset useful life</t>
  </si>
  <si>
    <t>Description (list each individual  balance sheet item)</t>
  </si>
  <si>
    <t>Commission date (provide a range)</t>
  </si>
  <si>
    <t xml:space="preserve">Useful life </t>
  </si>
  <si>
    <t>Reason for choosing this useful life</t>
  </si>
  <si>
    <t>years</t>
  </si>
  <si>
    <t>Asset impairment</t>
  </si>
  <si>
    <t>Table 3.4.1: Assets impaired</t>
  </si>
  <si>
    <t>Asset description</t>
  </si>
  <si>
    <t>Category</t>
  </si>
  <si>
    <t>Impairment amount $ nominal</t>
  </si>
  <si>
    <t>Impairment date</t>
  </si>
  <si>
    <t>Basis for impairment</t>
  </si>
  <si>
    <t>Table 3.4.2: Asset impairment reversals</t>
  </si>
  <si>
    <t>Prior Impairment amount 
$ nominal</t>
  </si>
  <si>
    <t>Reversal amount
$nominal</t>
  </si>
  <si>
    <t>Reversal date</t>
  </si>
  <si>
    <t>Basis for Reversal</t>
  </si>
  <si>
    <t>Depreciation amortisation</t>
  </si>
  <si>
    <t>Modify cost adjustment column if accelerated depreciation is applicable.</t>
  </si>
  <si>
    <t>Table 3.5.1: Pipeline assets at cost</t>
  </si>
  <si>
    <t>Acquisition date (provide a range)</t>
  </si>
  <si>
    <t>Useful life</t>
  </si>
  <si>
    <t>Estimated residual value</t>
  </si>
  <si>
    <t>Current year additions</t>
  </si>
  <si>
    <t>Current year capitalised maintenance or improvements</t>
  </si>
  <si>
    <t>Current year disposals or Early termination</t>
  </si>
  <si>
    <t>Cost base</t>
  </si>
  <si>
    <t>% Cost adjustment for accelerated depreciation (if applicable)</t>
  </si>
  <si>
    <t>Adjusted cost base</t>
  </si>
  <si>
    <t>Prior years' accumulated depreciation</t>
  </si>
  <si>
    <r>
      <t xml:space="preserve">Current year </t>
    </r>
    <r>
      <rPr>
        <b/>
        <sz val="10"/>
        <color indexed="9"/>
        <rFont val="Arial"/>
        <family val="2"/>
      </rPr>
      <t>depreciation</t>
    </r>
  </si>
  <si>
    <t>Written down value</t>
  </si>
  <si>
    <t>Years</t>
  </si>
  <si>
    <t>Table 3.5.2: Shared assets at cost</t>
  </si>
  <si>
    <t>Acquisition date</t>
  </si>
  <si>
    <t>Current year depreciation</t>
  </si>
  <si>
    <t>Total fixed assets</t>
  </si>
  <si>
    <t>Shared supporting assets</t>
  </si>
  <si>
    <t>Please ensure allocation methodologies are explained in sufficient detail within the Basis of Preparation as required under the Guideline.</t>
  </si>
  <si>
    <t>Table 3.6.1: Shared supporting asset allocation</t>
  </si>
  <si>
    <t>Description (list each individual shared asset category greater than 5%)</t>
  </si>
  <si>
    <t>Category of shared assets</t>
  </si>
  <si>
    <t>Total amount</t>
  </si>
  <si>
    <t>Total allocated to pipeline</t>
  </si>
  <si>
    <t>Asset value - Recovered Capital Method (RCM)</t>
  </si>
  <si>
    <t>This template is for a non-indexed asset value based on original construction costs and “depreciation” based on a notional cash-flow based “return of capital” approach, for non-scheme pipelines.</t>
  </si>
  <si>
    <t>Table 4.1: Pipeline assets (RCM)</t>
  </si>
  <si>
    <t>Drag and drop columns if required</t>
  </si>
  <si>
    <t>Construction cost</t>
  </si>
  <si>
    <t>Residual Value</t>
  </si>
  <si>
    <t>Maintenance capitalised</t>
  </si>
  <si>
    <t>Disposal (at cost)</t>
  </si>
  <si>
    <t>Leased Asset</t>
  </si>
  <si>
    <t>Pipeline assets cost base</t>
  </si>
  <si>
    <t>Shared assets</t>
  </si>
  <si>
    <t>Construction cost or acquisition cost (where allowed) apportioned</t>
  </si>
  <si>
    <t>Shared assets cost base</t>
  </si>
  <si>
    <t>Return of capital</t>
  </si>
  <si>
    <t>Operating expenses</t>
  </si>
  <si>
    <t>Net tax liabilities</t>
  </si>
  <si>
    <t>Leased Asset Interest/Financing Charge</t>
  </si>
  <si>
    <t>Return on capital</t>
  </si>
  <si>
    <t>Total Return of Capital</t>
  </si>
  <si>
    <t>Recovered capital method total asset value</t>
  </si>
  <si>
    <t>For information</t>
  </si>
  <si>
    <t>Opening asset value</t>
  </si>
  <si>
    <t>Rate of return (WACC)</t>
  </si>
  <si>
    <t>Table 4.2: Pipeline details</t>
  </si>
  <si>
    <t>Pipeline capital expenditure</t>
  </si>
  <si>
    <t>Please report all historical expansions/extensions in table 4.1.2, regardless of value.
Please ensure all extensions/expansions in the next 12 months that have advanced to the "Final Investment Decision" stage are comprehensively reported in table 4.1.3.</t>
  </si>
  <si>
    <t>Table 4.1.1: Capital expenditure greater than 5% of construction cost</t>
  </si>
  <si>
    <t>Description of works</t>
  </si>
  <si>
    <t>Date recognised</t>
  </si>
  <si>
    <t>Expenditure ($ nominal)</t>
  </si>
  <si>
    <t>Total expenditure</t>
  </si>
  <si>
    <t>Table 4.1.2: Historical expansions and extensions</t>
  </si>
  <si>
    <t>Table 4.1.3: Planned expansions and extensions of capacity</t>
  </si>
  <si>
    <t>Description of the matter</t>
  </si>
  <si>
    <t>Proposed commissioning date, or a range of dates</t>
  </si>
  <si>
    <t>Expected end date, or a range of dates</t>
  </si>
  <si>
    <t>Facility's proposed nameplate rating, or the estimated likely range during affected period</t>
  </si>
  <si>
    <t>Proposed expenditure (if available, required for publicly announced expansions)</t>
  </si>
  <si>
    <t>GJ/day</t>
  </si>
  <si>
    <t>Total proposed expenditure</t>
  </si>
  <si>
    <t>For information required to be published on the Gas Bulletin Board, please provide a publicly available link on their website to the relevant part of the Gas Bulletin Board.</t>
  </si>
  <si>
    <t>Table 5.1: Historical demand information</t>
  </si>
  <si>
    <t>Description of the information</t>
  </si>
  <si>
    <t>Publicly available link on Gas Bulletin Board</t>
  </si>
  <si>
    <t>Table 5.2: Demand by pipeline service</t>
  </si>
  <si>
    <t>Contracted MDQ</t>
  </si>
  <si>
    <t>TJ/day</t>
  </si>
  <si>
    <t>Table 5.3: Daily demand</t>
  </si>
  <si>
    <t>Contracted firm capacity-transportation</t>
  </si>
  <si>
    <t>Contracted firm capacity-storage</t>
  </si>
  <si>
    <t>Utilised capacity</t>
  </si>
  <si>
    <t>Available capacity-total</t>
  </si>
  <si>
    <t>Available capacity-firm</t>
  </si>
  <si>
    <t>Available contracted capacity</t>
  </si>
  <si>
    <t xml:space="preserve"> -</t>
  </si>
  <si>
    <t>Pricing template</t>
  </si>
  <si>
    <t>All numbers are expressed in $nominal</t>
  </si>
  <si>
    <t>Please input the percentages of asset value allocated to each services, and the indexes provided by AER. Please ensure to include any necessary explanation in the Basis of Preparation of the allocation methodologies, or if alternative index is used.
The cost-based pricing benchmarks is calculated based on three elements. The basic logics of the methodology would be explained in the handbook.</t>
  </si>
  <si>
    <t>6.1 Inputs</t>
  </si>
  <si>
    <t>Service provider inputs</t>
  </si>
  <si>
    <t>AER inputs</t>
  </si>
  <si>
    <t>Asset allocation to pipeline service</t>
  </si>
  <si>
    <t>Average regulatory return on debt</t>
  </si>
  <si>
    <t>Gearing</t>
  </si>
  <si>
    <t>Statutory tax rate</t>
  </si>
  <si>
    <t>Gamma</t>
  </si>
  <si>
    <t>Average regulatory rate of return</t>
  </si>
  <si>
    <t>6.2 Pricing benchmarks</t>
  </si>
  <si>
    <t>Fixed operating costs per unit</t>
  </si>
  <si>
    <t>Return of capital per unit</t>
  </si>
  <si>
    <t>Return on capital &amp; Tax per unit</t>
  </si>
  <si>
    <t>6.3 Elements calculated</t>
  </si>
  <si>
    <t>Summary</t>
  </si>
  <si>
    <t>2 Fixed operating costs</t>
  </si>
  <si>
    <t>3 Return of capital</t>
  </si>
  <si>
    <t>3 Return on capital &amp; Tax</t>
  </si>
  <si>
    <t>Total costs less depreciation in Table 2.1.1 per capacity denominator</t>
  </si>
  <si>
    <t>Direct costs less depreciation in Table 2.1.1 per capacity denominator</t>
  </si>
  <si>
    <t>Total asset depreciation per capacity denominator</t>
  </si>
  <si>
    <t>Direct asset depreciation per capacity denominator</t>
  </si>
  <si>
    <t>Depreciation of RCM asset value per capacity denominator</t>
  </si>
  <si>
    <t>Based on the inferred rates of return under Depreciated book value method</t>
  </si>
  <si>
    <t>Based on the average regulatory rate of return</t>
  </si>
  <si>
    <t>Return on capital per capacity denominator</t>
  </si>
  <si>
    <t>Tax estimate per capacity denominator</t>
  </si>
  <si>
    <t>6.4 Calculation process</t>
  </si>
  <si>
    <t>Fixed operating costs</t>
  </si>
  <si>
    <t>29. Three estimates of opex per unit of capacity</t>
  </si>
  <si>
    <t>Total costs less depreciation in Table 2.1.1</t>
  </si>
  <si>
    <t>Direct costs less depreciation in Table 2.1.1</t>
  </si>
  <si>
    <t>Capacity denominator (report period) TJ</t>
  </si>
  <si>
    <t>28. Estimated remaining direct asset lives</t>
  </si>
  <si>
    <t>Depreciable direct assets in Table 3.1.1 or 3.2.1</t>
  </si>
  <si>
    <t>Estimated one-year direct asset depreciation</t>
  </si>
  <si>
    <t>Estimated remaining asset life</t>
  </si>
  <si>
    <t>30-31. Depreciation on (total: direct and shared/direct) assets per unit of capacity</t>
  </si>
  <si>
    <t>Total asset depreciation in Table 2.1.1</t>
  </si>
  <si>
    <t>Direct asset depreciation in Table 2.1.1</t>
  </si>
  <si>
    <t>32. Estimated RCM depreciation per unit of capacity</t>
  </si>
  <si>
    <t>Closing asset value based on Table 4.1</t>
  </si>
  <si>
    <t>Estimated yearly depreciation</t>
  </si>
  <si>
    <t>Return on capital &amp; Tax</t>
  </si>
  <si>
    <t>34. Estimation of taxes</t>
  </si>
  <si>
    <t>Pipeline rate of return</t>
  </si>
  <si>
    <t>Post-tax return on equity</t>
  </si>
  <si>
    <t>Estimated pretax return on equity</t>
  </si>
  <si>
    <t>Tax as a % of equity</t>
  </si>
  <si>
    <t>Tax as a % of assets</t>
  </si>
  <si>
    <t>Pre-tax rate of return</t>
  </si>
  <si>
    <t>35. Based on the inferred rates of return under Depreciated book value method</t>
  </si>
  <si>
    <t>Depreciable direct assets in Table 3.1.1 or 3.2.1 (Including Land and easements)</t>
  </si>
  <si>
    <t>Tax estimate</t>
  </si>
  <si>
    <t>36. Based on the average regulatory rate of return</t>
  </si>
  <si>
    <t>Data validation lists</t>
  </si>
  <si>
    <t>Data validation lists_1</t>
  </si>
  <si>
    <t>Initial acquisition costs</t>
  </si>
  <si>
    <t>Acquisition year</t>
  </si>
  <si>
    <t xml:space="preserve">Initial construction costs </t>
  </si>
  <si>
    <t>Construction year</t>
  </si>
  <si>
    <t>Closing Regulatory Asset Base value</t>
  </si>
  <si>
    <t>Year of closing RAB set</t>
  </si>
  <si>
    <t>Inventories</t>
  </si>
  <si>
    <t>Other assets</t>
  </si>
  <si>
    <t>Date</t>
  </si>
  <si>
    <t>AER amendment#</t>
  </si>
  <si>
    <t>Worksheet</t>
  </si>
  <si>
    <t>Table</t>
  </si>
  <si>
    <t>Cell</t>
  </si>
  <si>
    <t>Change</t>
  </si>
  <si>
    <t>Reason</t>
  </si>
  <si>
    <t>Amendment record</t>
  </si>
  <si>
    <t>New worksheet inserted</t>
  </si>
  <si>
    <t>AER advised of errors in the published file - the amendment record allows for errors to be corrected in a transparent manner</t>
  </si>
  <si>
    <t>2. Revenue and expenses</t>
  </si>
  <si>
    <t>F13</t>
  </si>
  <si>
    <t>Formula corrected</t>
  </si>
  <si>
    <t>Formula amended to sum both elements of 'Direct revenue' to get 'Total direct revenue'.</t>
  </si>
  <si>
    <t>3 Statement of pipeline assets</t>
  </si>
  <si>
    <t>D33:E33</t>
  </si>
  <si>
    <t>Formula inserted</t>
  </si>
  <si>
    <t>Formula to aggregate relevant rows (Metering) to determine Closing value for metering assets</t>
  </si>
  <si>
    <t>3.3 Depreciation</t>
  </si>
  <si>
    <t>3.3.1</t>
  </si>
  <si>
    <t xml:space="preserve">D9:D52 </t>
  </si>
  <si>
    <t>List amended</t>
  </si>
  <si>
    <t>The term 'other depreciable assets' has been replaced with ' other depreciable pipeline assets' to match the terms used on worksheet 3.</t>
  </si>
  <si>
    <t>M7 and N7</t>
  </si>
  <si>
    <t>Heading amended</t>
  </si>
  <si>
    <t>The heading has been amended to make it clear that accumulated depreciation is to be reported for both the current reporting period and the prior period.</t>
  </si>
  <si>
    <t>I5:K5</t>
  </si>
  <si>
    <t>Guidance note added</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</si>
  <si>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</si>
  <si>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Column O</t>
  </si>
  <si>
    <t>Formula updated</t>
  </si>
  <si>
    <t>Formula updated to avoid double counting of prior years' data.</t>
  </si>
  <si>
    <t>Rows 63-67 and 74-78</t>
  </si>
  <si>
    <t>rows inserted</t>
  </si>
  <si>
    <t>New items inserted to record Leased Assets as per AASB16.</t>
  </si>
  <si>
    <t>D68:E68 and D82:E82</t>
  </si>
  <si>
    <t>Formulae updated to include leased assets</t>
  </si>
  <si>
    <t xml:space="preserve">D14, D19, D25, D31, D37, D43, D49, D59 </t>
  </si>
  <si>
    <t>Formulae corrected</t>
  </si>
  <si>
    <t>Formulae ammended to include prior year accumulated depreciation plus current year depreciation.  It was only picking up current year depreciation.</t>
  </si>
  <si>
    <t>3.1 Pipeline asset useful life</t>
  </si>
  <si>
    <t>3.1.1</t>
  </si>
  <si>
    <t>B21:F25 and B32:F37</t>
  </si>
  <si>
    <t>Allow for lease asset information</t>
  </si>
  <si>
    <t>Cover</t>
  </si>
  <si>
    <t>Reporting template</t>
  </si>
  <si>
    <t>D31:F32</t>
  </si>
  <si>
    <t>Formatting - font changed from white to black colour</t>
  </si>
  <si>
    <t>To be visible.</t>
  </si>
  <si>
    <t>1.1 Financial performance</t>
  </si>
  <si>
    <t>1.1.1</t>
  </si>
  <si>
    <t>C10</t>
  </si>
  <si>
    <t>Formatting - changed from Accounting Comma to Percentage Percent</t>
  </si>
  <si>
    <t>To disclose percentage with appropriate signage</t>
  </si>
  <si>
    <t>tab renamed 3.3 Depreciation amortisation</t>
  </si>
  <si>
    <t>3.3 Depreciation amortisation</t>
  </si>
  <si>
    <t>3.3.2</t>
  </si>
  <si>
    <t>L58:L78</t>
  </si>
  <si>
    <t>Insert column</t>
  </si>
  <si>
    <t>To explicitly allow for prior period depreciation</t>
  </si>
  <si>
    <t>Row 59</t>
  </si>
  <si>
    <t>to record additions and improvements capitalised</t>
  </si>
  <si>
    <t>D58</t>
  </si>
  <si>
    <t>to only pick up initial acquisition costs</t>
  </si>
  <si>
    <t>D9:D52</t>
  </si>
  <si>
    <t>List updated</t>
  </si>
  <si>
    <t>added Leased assets to drop list</t>
  </si>
  <si>
    <t>D60:D67</t>
  </si>
  <si>
    <t>added Shared leased assets to drop list</t>
  </si>
  <si>
    <t>4 Recovered Capital</t>
  </si>
  <si>
    <t>Rows 15, 22, 29</t>
  </si>
  <si>
    <t>New items inserted to record Leased Assets</t>
  </si>
  <si>
    <t>E15, E22 and E29</t>
  </si>
  <si>
    <t>Formula added</t>
  </si>
  <si>
    <t>to sum columns F to BH for respective items</t>
  </si>
  <si>
    <t>F16:BH16 and F23:BH23</t>
  </si>
  <si>
    <t>to include Leased Assets in total</t>
  </si>
  <si>
    <t>3.3.1 and 3.3.2</t>
  </si>
  <si>
    <t>B5, B56, K7, G58, J58 and M58</t>
  </si>
  <si>
    <t>Headings updated for clarity</t>
  </si>
  <si>
    <t>A7</t>
  </si>
  <si>
    <t xml:space="preserve">Heading amended </t>
  </si>
  <si>
    <t>Spelling correction - "insructions" changed to "instructions"</t>
  </si>
  <si>
    <t xml:space="preserve">Cover </t>
  </si>
  <si>
    <t>A25:E25</t>
  </si>
  <si>
    <t>Row inserted</t>
  </si>
  <si>
    <t xml:space="preserve">To record the publication date of the reporting template </t>
  </si>
  <si>
    <t>A27:E27</t>
  </si>
  <si>
    <t xml:space="preserve">To record the date to which the reported information is current </t>
  </si>
  <si>
    <t>A29:K29</t>
  </si>
  <si>
    <t>To record whether there has been any change in the template and disclose the basis of preparation reference, if relevant</t>
  </si>
  <si>
    <t xml:space="preserve">Contents </t>
  </si>
  <si>
    <t>Hyperlink added</t>
  </si>
  <si>
    <t xml:space="preserve">Hyperlink to 'Summary' worksheet inserted. </t>
  </si>
  <si>
    <t>Worksheet inserted</t>
  </si>
  <si>
    <t xml:space="preserve">To enhance accessibility and transparency of the reported information by providing 'a quick glance' view of the key information reported in the template. </t>
  </si>
  <si>
    <t>1. Pipeline information</t>
  </si>
  <si>
    <t>B16, B20, B21</t>
  </si>
  <si>
    <t>To make the labelling of pipeline service categories consistent with those listed in Table 2.1.1.</t>
  </si>
  <si>
    <t>2. Revenues and expenses</t>
  </si>
  <si>
    <t>Row 12 to Row 14 /
 C12: C14</t>
  </si>
  <si>
    <t>Rows inserted</t>
  </si>
  <si>
    <t>To improve the clarity of revenue categories, ‘Customer contribution revenue’ and ‘profit from sale of fixed assets’ are removed from the ‘Total service revenue’ category under Table 2.1.1. They are now reflected in Table 2.1 instead, where ‘Direct revenue’ category is reported. 
‘Government contribution revenue’ is added as a category, consistent with the treatment for ‘Customer contribution revenue’ under the ‘Direct revenue’ category.</t>
  </si>
  <si>
    <t xml:space="preserve">F11 and I11 </t>
  </si>
  <si>
    <t xml:space="preserve">To amend the formula to sum up D11 and E11 ; and G11 and H11 respectively. </t>
  </si>
  <si>
    <t>D32:D40 and E32:E40</t>
  </si>
  <si>
    <t>To amend the formula to sum up the relevant rows in Table 2.4.1 (rows 9-35 instead of rows 9-36).</t>
  </si>
  <si>
    <t>J24</t>
  </si>
  <si>
    <t>Comment removed</t>
  </si>
  <si>
    <t>To remove a comment made inadvertantly.</t>
  </si>
  <si>
    <t>C34 and C39</t>
  </si>
  <si>
    <t>To remove uppercase in some words.</t>
  </si>
  <si>
    <t>I16</t>
  </si>
  <si>
    <t>To correctly sum up revenue categories to derive 'total direct revenue'.</t>
  </si>
  <si>
    <t>2.1 Revenue by service</t>
  </si>
  <si>
    <t>2.1.1</t>
  </si>
  <si>
    <t xml:space="preserve">C10, C21 </t>
  </si>
  <si>
    <t xml:space="preserve">To clarify that Table 2.1.1 only captures service revenue, rather than all direct revenue. </t>
  </si>
  <si>
    <t>Rows removed</t>
  </si>
  <si>
    <t xml:space="preserve">The removed categories have been moved to Table 2.1, as discussed at amendment record number 31. </t>
  </si>
  <si>
    <t>Rows 16 and 17</t>
  </si>
  <si>
    <t>Rows amended and inserted</t>
  </si>
  <si>
    <t>To split “Park and park and loan services” into two rows: “Park services” and “Park and loan services” , consistent with how service categories are presented in Table 1.2.</t>
  </si>
  <si>
    <t>Row 20</t>
  </si>
  <si>
    <t xml:space="preserve">To replace 'Distribution/transmission revenue' with 'Other pipeline services (if relevant)', consistent with how service categories are presented in Table 1.2. </t>
  </si>
  <si>
    <t>I21</t>
  </si>
  <si>
    <t>To correctly calculate the 'total service revenue'.</t>
  </si>
  <si>
    <t xml:space="preserve">2.2 Revenue contributions </t>
  </si>
  <si>
    <t>2.2.1</t>
  </si>
  <si>
    <t>E9:E14</t>
  </si>
  <si>
    <t>Formula added and formatting changed</t>
  </si>
  <si>
    <t xml:space="preserve">Added sum formula. </t>
  </si>
  <si>
    <t>2.3 Indirect revenue</t>
  </si>
  <si>
    <t>2.3.1</t>
  </si>
  <si>
    <t>E2:G4</t>
  </si>
  <si>
    <t xml:space="preserve">A prompt has been added to the worksheet to highlight the need for pipeline operators to include sufficient information in their basis of preparation to explain its allocation methodologies and the basis of its allocators. </t>
  </si>
  <si>
    <t xml:space="preserve">2.4 Shared costs </t>
  </si>
  <si>
    <t>2.4.1</t>
  </si>
  <si>
    <t>As above.</t>
  </si>
  <si>
    <t>2.4 Shared costs</t>
  </si>
  <si>
    <t xml:space="preserve">H36 &amp; I36 </t>
  </si>
  <si>
    <t>To rectify a double counting error.</t>
  </si>
  <si>
    <t>C11 and C16</t>
  </si>
  <si>
    <t>Heading renamed</t>
  </si>
  <si>
    <t>To remove upppercase in some words.</t>
  </si>
  <si>
    <t>3. Statement of pipeline assets</t>
  </si>
  <si>
    <t>C38, C44</t>
  </si>
  <si>
    <t>Spelling correction - "Odourant" changed to "Odorant"</t>
  </si>
  <si>
    <t>C8 and C81</t>
  </si>
  <si>
    <t>Heading inserted</t>
  </si>
  <si>
    <t xml:space="preserve">To improve the clarity of asset categories </t>
  </si>
  <si>
    <t>C82</t>
  </si>
  <si>
    <t xml:space="preserve">To improve the consistency of labelling between worksheets </t>
  </si>
  <si>
    <t xml:space="preserve">Column C </t>
  </si>
  <si>
    <t>Rows added and headings amended</t>
  </si>
  <si>
    <t xml:space="preserve">To improve the consistency of labelling between worksheets, each asset category other than ‘pipelines’, ‘land and easements’, ‘other non-depreciable pipeline assets’, ‘inventories’, ‘deferred tax assets’ and ‘other assets’, is amended to have the following reporting lines, consistent with the headings in Table 3.3.1 : 
- Initial construction or acquisition costs 
- Additions
- Capitalised maintenance or improvements
- Depreciation 
- Disposals or early termination (at cost)
There are also some formatting changes. </t>
  </si>
  <si>
    <t>D71 &amp; E71</t>
  </si>
  <si>
    <t>To correctly sum up the cost components that derive the carrying value of ‘other depreciable pipeline assets’.</t>
  </si>
  <si>
    <t>D88 &amp; E88</t>
  </si>
  <si>
    <t xml:space="preserve">To correctly sum up the cost components that derive the carrying value of ‘shared property, plant and equipment’ (previously labelled ‘shared supporting assets’). </t>
  </si>
  <si>
    <t>3.1 Asset useful life</t>
  </si>
  <si>
    <t>Tab renamed</t>
  </si>
  <si>
    <t xml:space="preserve">Tab is renamed  from '3.1 Pipeline asset useful life' to '3.1 Asset useful life' to be consistent with the heading of the worksheet. The worksheet does not only contain pipeline asset useful life information, but also shared assets’. </t>
  </si>
  <si>
    <t>D9:D37</t>
  </si>
  <si>
    <t xml:space="preserve">Number formatting </t>
  </si>
  <si>
    <t>To disclose numbers as short dates.</t>
  </si>
  <si>
    <t>D7</t>
  </si>
  <si>
    <t>To correct spelling mistake: "Acqusition" changed to "Acquisition"</t>
  </si>
  <si>
    <t>3.2 Asset impairment</t>
  </si>
  <si>
    <t xml:space="preserve">Tab is renamed  from '3.2 Pipeline asset impairment' to '3.2 Asset impairment' to be consistent with the heading of the worksheet. The worksheet does not only contain pipeline asset impairment information, but also shared assets’. </t>
  </si>
  <si>
    <t>3.2.1 and 3.2.2</t>
  </si>
  <si>
    <t>D8:D22, D28:D54, G28:G54,</t>
  </si>
  <si>
    <t>H7 and G58</t>
  </si>
  <si>
    <t>J7 and I58</t>
  </si>
  <si>
    <t>G53</t>
  </si>
  <si>
    <t>To rectify a missing formula.</t>
  </si>
  <si>
    <t>F9:F52 and F60:F77</t>
  </si>
  <si>
    <t xml:space="preserve">To disclose numbers to the nearest whole number. </t>
  </si>
  <si>
    <t>N7, M58</t>
  </si>
  <si>
    <t>The heading has been amended to make it clear that depreciation for the current reporting period does not include accumulated depreciation for the prior years.</t>
  </si>
  <si>
    <t>The dropdown box values have been amended to match the asset categories terms used on worksheet 3.</t>
  </si>
  <si>
    <t>D60:D77</t>
  </si>
  <si>
    <t>3.4 Shared supporting assets</t>
  </si>
  <si>
    <t>3.4.1</t>
  </si>
  <si>
    <t>D9:D40</t>
  </si>
  <si>
    <t xml:space="preserve">3.4 Shared supporting assets </t>
  </si>
  <si>
    <t>4. Recovered capital</t>
  </si>
  <si>
    <t>Minor punctuation amendment.</t>
  </si>
  <si>
    <t>Background amended</t>
  </si>
  <si>
    <t>Background amended to white, consistent with the rest of the template worksheets.</t>
  </si>
  <si>
    <t>E11</t>
  </si>
  <si>
    <t xml:space="preserve">To revise the formula to sum F11:BH11, consistent with the formula of other cost compoenents that make up the 'cost base'. </t>
  </si>
  <si>
    <t>Rows 33 and 34</t>
  </si>
  <si>
    <t>To disclose opening asset value and rate of return (WACC) of each year.</t>
  </si>
  <si>
    <t>E25</t>
  </si>
  <si>
    <t>Formula deleted</t>
  </si>
  <si>
    <t>Formula not required.</t>
  </si>
  <si>
    <t>F31:BH31</t>
  </si>
  <si>
    <t>Previous sum formula included row 25 which is not an input cell</t>
  </si>
  <si>
    <t>F8:BH8</t>
  </si>
  <si>
    <t xml:space="preserve">To adjust the formula to display year numbers that would allow for cross-referencing in the Summary tab. </t>
  </si>
  <si>
    <t>D18</t>
  </si>
  <si>
    <t>To correct spelling error - "Acqusition" changed to "Acquisition"</t>
  </si>
  <si>
    <t>5. Weighted average price</t>
  </si>
  <si>
    <t>Column B</t>
  </si>
  <si>
    <t>Column added</t>
  </si>
  <si>
    <t xml:space="preserve">To disclose the reference to the basis of preparation where pipeline operator may have explained the basis of allocation between pipelines and service types. </t>
  </si>
  <si>
    <t>Column D</t>
  </si>
  <si>
    <t>To provide clarity on whether there has been any use of estimates by the pipeline operator to allocate revenue between pipelines and service types.</t>
  </si>
  <si>
    <t>B2:E3</t>
  </si>
  <si>
    <t>To insert Heading "Year ending XX/XX/XXXX", consistent with the strucure of other worksheets in the template.</t>
  </si>
  <si>
    <t>F10: BJ10</t>
  </si>
  <si>
    <t xml:space="preserve">To clarify the unit measurement the data is supposed to be expressed in. </t>
  </si>
  <si>
    <t>G10, N10, U10, AA10, AG10, AN10, AT10, AZ10, BF10</t>
  </si>
  <si>
    <t>Comment box inserted</t>
  </si>
  <si>
    <t>To provide guidance that MDQ Total TJ shall be reported as the sum of MDQ's over the reporting period in TJs</t>
  </si>
  <si>
    <t>All worksheets</t>
  </si>
  <si>
    <t xml:space="preserve">All data points expressed in dollars terms have been formatted to remove decimal points (except for weighted average prices) and to express negative values in brackets. </t>
  </si>
  <si>
    <t>Port Campbell in SW Victoria to Pelican Point in South Australia</t>
  </si>
  <si>
    <t>Transmission</t>
  </si>
  <si>
    <t>SEA Gas Partnership</t>
  </si>
  <si>
    <t>Pt. Campbell to Adelaide (PCA)</t>
  </si>
  <si>
    <t>Non-scheme pipeline</t>
  </si>
  <si>
    <t>No</t>
  </si>
  <si>
    <t>L5, 57 Wyatt Street</t>
  </si>
  <si>
    <t>Adelaide</t>
  </si>
  <si>
    <t>SA</t>
  </si>
  <si>
    <t>Ngaire Walkinsaw</t>
  </si>
  <si>
    <t>08 8236 6800</t>
  </si>
  <si>
    <t>secretariat@seagas.com.au</t>
  </si>
  <si>
    <t>252 TJ</t>
  </si>
  <si>
    <t>Yes</t>
  </si>
  <si>
    <t>Mortlake O&amp;M Services</t>
  </si>
  <si>
    <t>Fuel Gas Recovery (Notional)</t>
  </si>
  <si>
    <t>Management Fee Income</t>
  </si>
  <si>
    <t>Share Employee Costs</t>
  </si>
  <si>
    <t>Property &amp; Office Costs</t>
  </si>
  <si>
    <t>Depreciation Expense</t>
  </si>
  <si>
    <t>Borrowing Costs</t>
  </si>
  <si>
    <t>Fuel Gas (Notional Cost)</t>
  </si>
  <si>
    <t>January 2004 to July 2004</t>
  </si>
  <si>
    <t>January 2004 to September 2005</t>
  </si>
  <si>
    <t>Capitalised Spares</t>
  </si>
  <si>
    <t>2004 -2025</t>
  </si>
  <si>
    <t>Operations Equipment</t>
  </si>
  <si>
    <t>Capitalised Borrowing costs</t>
  </si>
  <si>
    <t>2004-2005</t>
  </si>
  <si>
    <t>WIP</t>
  </si>
  <si>
    <t>2008 -2025</t>
  </si>
  <si>
    <t>n/a</t>
  </si>
  <si>
    <t xml:space="preserve">Office Furniture </t>
  </si>
  <si>
    <t>2004 - 2025</t>
  </si>
  <si>
    <t xml:space="preserve">Office Equipment </t>
  </si>
  <si>
    <t xml:space="preserve">Computer - Hardware </t>
  </si>
  <si>
    <t xml:space="preserve">Computer - Software </t>
  </si>
  <si>
    <t xml:space="preserve">Fixtures &amp; Fittings </t>
  </si>
  <si>
    <t xml:space="preserve">Motor Vehicles </t>
  </si>
  <si>
    <t>September 2024</t>
  </si>
  <si>
    <t>Pipeline</t>
  </si>
  <si>
    <t>2004</t>
  </si>
  <si>
    <t>Compressors</t>
  </si>
  <si>
    <t>City Gates, supply regulators and valve stations</t>
  </si>
  <si>
    <t>Metering</t>
  </si>
  <si>
    <t>SCADA</t>
  </si>
  <si>
    <t>Buildings</t>
  </si>
  <si>
    <t>2005</t>
  </si>
  <si>
    <t>Land and Easements</t>
  </si>
  <si>
    <t>2004-2025</t>
  </si>
  <si>
    <t>10</t>
  </si>
  <si>
    <t>50</t>
  </si>
  <si>
    <t>2008-2025</t>
  </si>
  <si>
    <t>2013-2025</t>
  </si>
  <si>
    <t>Estimated economic useful life / Per AER Guidelines</t>
  </si>
  <si>
    <t>Per AER Guidelines</t>
  </si>
  <si>
    <t>Estimated economic useful life</t>
  </si>
  <si>
    <t>Amortised over the life of the financed asset</t>
  </si>
  <si>
    <t>Not applicable</t>
  </si>
  <si>
    <t>For all shared supporting assets used the ave eff life of 10 yrs</t>
  </si>
  <si>
    <t>Term of the Lease</t>
  </si>
  <si>
    <t xml:space="preserve">Estimated economic useful life </t>
  </si>
  <si>
    <t>2.1.1SOPRAEBC_D13:I13</t>
  </si>
  <si>
    <t>2.1.1SOPRAEBC_D14:I17</t>
  </si>
  <si>
    <t>2.1.1SOPRAEBC_D23:I42</t>
  </si>
  <si>
    <t>2.1.1SOPRAEBC_D20:I20</t>
  </si>
  <si>
    <t xml:space="preserve">2.2.1RBS_D13:K22
</t>
  </si>
  <si>
    <t>2.2.1RBS_D25:K34</t>
  </si>
  <si>
    <t>2.2.1RBS_D37:K46</t>
  </si>
  <si>
    <t>2.2.2EBS_D56:K65</t>
  </si>
  <si>
    <t>2.2.2EBS_D68:K77</t>
  </si>
  <si>
    <t>2.2.2EBS_D80:K89</t>
  </si>
  <si>
    <t>2.5.1SEAD15:J22</t>
  </si>
  <si>
    <t>2.5.1SEAD25:J25</t>
  </si>
  <si>
    <t>3.1.1PADBVM_D18:E101</t>
  </si>
  <si>
    <t>3.1.1PADBVM_D106:E123</t>
  </si>
  <si>
    <t>3.3.1AUL_C11:F36</t>
  </si>
  <si>
    <t>3.5.1PAAC_C15:F22  / 3.5.1PAAC_G15:P22</t>
  </si>
  <si>
    <t>3.5.2SAAC_C66:F75  / 3.5.2SAAC_G66:O75</t>
  </si>
  <si>
    <t>Pipeline Nameplate Capacity</t>
  </si>
  <si>
    <t>Utilised Capacity</t>
  </si>
  <si>
    <t>https://www.aemo.com.au/energy-systems/gas/gas-bulletin-board-gbb/data-gbb/gas-flows</t>
  </si>
  <si>
    <t>https://seagas.com.au/services/pipeline-information/</t>
  </si>
  <si>
    <t>https://seagas.com.au/services/reports/service-usage/</t>
  </si>
  <si>
    <t>5.1HDID15:D15</t>
  </si>
  <si>
    <t>5.1HDID16:D16</t>
  </si>
  <si>
    <t>5.1HDID17:D17</t>
  </si>
  <si>
    <t>5.1HDID18:D18</t>
  </si>
  <si>
    <t>3.1.2ICOPADBVM_D132:D132</t>
  </si>
  <si>
    <t>2.1SOPRAEBS_D12:G21</t>
  </si>
  <si>
    <t>Administration charges</t>
  </si>
  <si>
    <t>Capital charges</t>
  </si>
  <si>
    <t>Connection Point charges</t>
  </si>
  <si>
    <t>Facility Operator services</t>
  </si>
  <si>
    <t>2.4.1IRA_C18:I18</t>
  </si>
  <si>
    <t>2.4.1IRA_C15:I17</t>
  </si>
  <si>
    <t>Project Recoveries</t>
  </si>
  <si>
    <t xml:space="preserve">4.1PA(RCM)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</si>
</sst>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0.00_-;\-&quot;$&quot;* #,##0.00_-;_-&quot;$&quot;*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d/mm/yyyy;@"/>
    <numFmt numFmtId="170" formatCode="_(* #,##0.0_);_(* \(#,##0.0\);_(* &quot;-&quot;_);_(@_)"/>
    <numFmt numFmtId="171" formatCode="_(* #,##0.00_);_(* \(#,##0.00\);_(* &quot;-&quot;_);_(@_)"/>
    <numFmt numFmtId="172" formatCode="_(* #,##0.000_);_(* \(#,##0.000\);_(* &quot;-&quot;_);_(@_)"/>
    <numFmt numFmtId="173" formatCode="_(* #,##0.0000_);_(* \(#,##0.0000\);_(* &quot;-&quot;_);_(@_)"/>
  </numFmts>
  <fonts count="79"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name val="Arial"/>
      <family val="2"/>
    </font>
    <font>
      <sz val="8"/>
      <name val="Arial"/>
      <family val="2"/>
    </font>
    <font>
      <sz val="10"/>
      <color indexed="9"/>
      <name val="Arial"/>
      <family val="2"/>
    </font>
    <font>
      <sz val="18"/>
      <name val="Arial"/>
      <family val="2"/>
    </font>
    <font>
      <sz val="18"/>
      <color indexed="62"/>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0"/>
      <name val="Cambria"/>
      <family val="2"/>
    </font>
    <font>
      <sz val="10"/>
      <name val="Arial"/>
      <family val="2"/>
    </font>
    <font>
      <sz val="11"/>
      <name val="Arial"/>
      <family val="2"/>
    </font>
    <font>
      <b/>
      <i/>
      <sz val="10"/>
      <color indexed="9"/>
      <name val="Arial"/>
      <family val="2"/>
    </font>
    <font>
      <b/>
      <sz val="12"/>
      <color indexed="9"/>
      <name val="Arial"/>
      <family val="2"/>
    </font>
    <font>
      <sz val="9"/>
      <color indexed="81"/>
      <name val="Tahoma"/>
      <family val="2"/>
    </font>
    <font>
      <sz val="10"/>
      <name val="Arial"/>
      <family val="2"/>
    </font>
    <font>
      <b/>
      <sz val="10"/>
      <color indexed="10"/>
      <name val="Arial"/>
      <family val="2"/>
    </font>
    <font>
      <sz val="20"/>
      <name val="Arial"/>
      <family val="2"/>
    </font>
    <font>
      <sz val="20"/>
      <color indexed="18"/>
      <name val="Arial"/>
      <family val="2"/>
    </font>
    <font>
      <sz val="12"/>
      <name val="Arial"/>
      <family val="2"/>
    </font>
    <font>
      <sz val="12"/>
      <color indexed="9"/>
      <name val="Arial"/>
      <family val="2"/>
    </font>
    <font>
      <sz val="8"/>
      <name val="Malgun Gothic"/>
      <family val="2"/>
    </font>
    <font>
      <i/>
      <sz val="9"/>
      <color indexed="81"/>
      <name val="Tahoma"/>
      <family val="2"/>
    </font>
    <font>
      <sz val="10"/>
      <color indexed="81"/>
      <name val="Tahoma"/>
      <family val="2"/>
    </font>
    <font>
      <sz val="10"/>
      <color theme="1"/>
      <name val="Arial"/>
      <family val="2"/>
    </font>
    <font>
      <b/>
      <sz val="16"/>
      <color theme="0"/>
      <name val="Arial"/>
      <family val="2"/>
    </font>
    <font>
      <sz val="10"/>
      <name val="Cambria"/>
      <family val="2"/>
      <scheme val="major"/>
    </font>
    <font>
      <sz val="11"/>
      <color theme="1"/>
      <name val="Calibri"/>
      <family val="2"/>
      <scheme val="minor"/>
    </font>
    <font>
      <sz val="11"/>
      <color theme="1"/>
      <name val="Calibri"/>
      <family val="2"/>
    </font>
    <font>
      <sz val="10"/>
      <color theme="0"/>
      <name val="Arial"/>
      <family val="2"/>
    </font>
    <font>
      <b/>
      <i/>
      <sz val="10"/>
      <color theme="0"/>
      <name val="Arial"/>
      <family val="2"/>
    </font>
    <font>
      <b/>
      <sz val="10"/>
      <color theme="0"/>
      <name val="Arial"/>
      <family val="2"/>
    </font>
    <font>
      <sz val="10"/>
      <color rgb="FFFFFFFF"/>
      <name val="Arial"/>
      <family val="2"/>
    </font>
    <font>
      <b/>
      <sz val="20"/>
      <color theme="0"/>
      <name val="Arial"/>
      <family val="2"/>
    </font>
    <font>
      <sz val="20"/>
      <color theme="0"/>
      <name val="Arial"/>
      <family val="2"/>
    </font>
    <font>
      <sz val="20"/>
      <color rgb="FF17415D"/>
      <name val="Arial"/>
      <family val="2"/>
    </font>
    <font>
      <sz val="8"/>
      <color rgb="FF000000"/>
      <name val="Malgun Gothic"/>
      <family val="2"/>
    </font>
    <font>
      <sz val="11"/>
      <color rgb="FF1D1D1D"/>
      <name val="Arial"/>
      <family val="2"/>
    </font>
    <font>
      <b/>
      <sz val="10"/>
      <color theme="9"/>
      <name val="Arial"/>
      <family val="2"/>
    </font>
    <font>
      <sz val="10"/>
      <color rgb="FFFF0000"/>
      <name val="Arial"/>
      <family val="2"/>
    </font>
    <font>
      <i/>
      <sz val="12"/>
      <color theme="0"/>
      <name val="Arial"/>
      <family val="2"/>
    </font>
    <font>
      <b/>
      <sz val="12"/>
      <color theme="0"/>
      <name val="Arial"/>
      <family val="2"/>
    </font>
    <font>
      <b/>
      <sz val="12"/>
      <color rgb="FFFFFFFF"/>
      <name val="Arial"/>
      <family val="2"/>
    </font>
    <font>
      <sz val="28"/>
      <color rgb="FFFF0000"/>
      <name val="Arial"/>
      <family val="2"/>
    </font>
    <font>
      <sz val="10"/>
      <color rgb="FF000000"/>
      <name val="Arial"/>
      <family val="2"/>
    </font>
    <font>
      <sz val="12"/>
      <color rgb="FFFFFFFF"/>
      <name val="Arial"/>
      <family val="2"/>
    </font>
    <font>
      <b/>
      <sz val="20"/>
      <color rgb="FF17415D"/>
      <name val="Arial"/>
      <family val="2"/>
    </font>
    <font>
      <b/>
      <sz val="10"/>
      <color rgb="FFFFFFFF"/>
      <name val="Arial"/>
      <family val="2"/>
    </font>
    <font>
      <sz val="9"/>
      <name val="Calibri"/>
      <family val="2"/>
      <scheme val="minor"/>
    </font>
    <font>
      <sz val="9"/>
      <name val="Arial"/>
      <family val="2"/>
    </font>
    <font>
      <sz val="8"/>
      <name val="Arial"/>
      <family val="2"/>
    </font>
    <font>
      <sz val="10"/>
      <name val="Calibri"/>
      <family val="2"/>
      <scheme val="minor"/>
    </font>
    <font>
      <sz val="8"/>
      <name val="Calibri"/>
      <family val="2"/>
      <scheme val="minor"/>
    </font>
    <font>
      <sz val="8"/>
      <color rgb="FFFF0000"/>
      <name val="Calibri"/>
      <family val="2"/>
      <scheme val="minor"/>
    </font>
  </fonts>
  <fills count="43">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8"/>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theme="0" tint="-0.49998474074526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2B7AAF"/>
        <bgColor indexed="64"/>
      </patternFill>
    </fill>
    <fill>
      <patternFill patternType="solid">
        <fgColor rgb="FFFFECC9"/>
        <bgColor indexed="64"/>
      </patternFill>
    </fill>
    <fill>
      <patternFill patternType="solid">
        <fgColor rgb="FF17415D"/>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255">
    <xf numFmtId="0" fontId="0" fillId="0" borderId="0"/>
    <xf numFmtId="0" fontId="6"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164"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35"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41" fontId="6" fillId="13" borderId="0" applyNumberFormat="0" applyFont="0" applyBorder="0" applyAlignment="0">
      <alignment horizontal="right"/>
    </xf>
    <xf numFmtId="0" fontId="15" fillId="8" borderId="1" applyNumberFormat="0" applyAlignment="0" applyProtection="0"/>
    <xf numFmtId="0" fontId="15" fillId="9" borderId="1" applyNumberFormat="0" applyAlignment="0" applyProtection="0"/>
    <xf numFmtId="0" fontId="16" fillId="26" borderId="2" applyNumberFormat="0" applyAlignment="0" applyProtection="0"/>
    <xf numFmtId="0" fontId="16" fillId="27" borderId="2" applyNumberFormat="0" applyAlignment="0" applyProtection="0"/>
    <xf numFmtId="43" fontId="1"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0" fillId="32" borderId="0">
      <alignment vertical="center"/>
    </xf>
    <xf numFmtId="49" fontId="50" fillId="33" borderId="0">
      <alignment vertical="center"/>
    </xf>
    <xf numFmtId="0" fontId="17" fillId="0" borderId="0" applyNumberFormat="0" applyFill="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11" fillId="0" borderId="0" applyNumberFormat="0" applyFill="0" applyBorder="0" applyAlignment="0" applyProtection="0">
      <alignment vertical="top"/>
      <protection locked="0"/>
    </xf>
    <xf numFmtId="0" fontId="22" fillId="4" borderId="1" applyNumberFormat="0" applyAlignment="0" applyProtection="0"/>
    <xf numFmtId="0" fontId="22" fillId="5" borderId="1" applyNumberFormat="0" applyAlignment="0" applyProtection="0"/>
    <xf numFmtId="164" fontId="1"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35"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6" fillId="31" borderId="0" applyFont="0" applyBorder="0" applyAlignment="0">
      <alignment horizontal="right"/>
      <protection locked="0"/>
    </xf>
    <xf numFmtId="41" fontId="40" fillId="31" borderId="0" applyFont="0" applyBorder="0" applyAlignment="0">
      <alignment horizontal="right"/>
      <protection locked="0"/>
    </xf>
    <xf numFmtId="41" fontId="6" fillId="31" borderId="0" applyFont="0" applyBorder="0" applyAlignment="0">
      <alignment horizontal="right"/>
      <protection locked="0"/>
    </xf>
    <xf numFmtId="165" fontId="6" fillId="30" borderId="0" applyFont="0" applyBorder="0">
      <alignment horizontal="right"/>
      <protection locked="0"/>
    </xf>
    <xf numFmtId="165" fontId="35" fillId="30" borderId="0" applyFont="0" applyBorder="0">
      <alignment horizontal="right"/>
      <protection locked="0"/>
    </xf>
    <xf numFmtId="165" fontId="6" fillId="30" borderId="0" applyFont="0" applyBorder="0">
      <alignment horizontal="right"/>
      <protection locked="0"/>
    </xf>
    <xf numFmtId="164"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35"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41" fontId="6" fillId="7" borderId="0" applyFont="0" applyBorder="0">
      <alignment horizontal="right"/>
      <protection locked="0"/>
    </xf>
    <xf numFmtId="0" fontId="23" fillId="0" borderId="6" applyNumberFormat="0" applyFill="0" applyAlignment="0" applyProtection="0"/>
    <xf numFmtId="0" fontId="24" fillId="10" borderId="0" applyNumberFormat="0" applyBorder="0" applyAlignment="0" applyProtection="0"/>
    <xf numFmtId="0" fontId="24" fillId="11" borderId="0" applyNumberFormat="0" applyBorder="0" applyAlignment="0" applyProtection="0"/>
    <xf numFmtId="0" fontId="51" fillId="0" borderId="0"/>
    <xf numFmtId="0" fontId="34" fillId="0" borderId="0"/>
    <xf numFmtId="0" fontId="52" fillId="0" borderId="0"/>
    <xf numFmtId="0" fontId="6" fillId="0" borderId="0"/>
    <xf numFmtId="0" fontId="35" fillId="0" borderId="0"/>
    <xf numFmtId="0" fontId="6" fillId="0" borderId="0"/>
    <xf numFmtId="0" fontId="6" fillId="0" borderId="0" applyNumberFormat="0" applyFill="0" applyBorder="0" applyAlignment="0" applyProtection="0"/>
    <xf numFmtId="0" fontId="53" fillId="0" borderId="0"/>
    <xf numFmtId="0" fontId="52" fillId="0" borderId="0"/>
    <xf numFmtId="0" fontId="1" fillId="9" borderId="0"/>
    <xf numFmtId="0" fontId="1" fillId="9" borderId="0"/>
    <xf numFmtId="0" fontId="1" fillId="9" borderId="0"/>
    <xf numFmtId="0" fontId="1" fillId="0" borderId="0"/>
    <xf numFmtId="0" fontId="1" fillId="9" borderId="0"/>
    <xf numFmtId="0" fontId="6" fillId="9" borderId="0"/>
    <xf numFmtId="0" fontId="1" fillId="9" borderId="0"/>
    <xf numFmtId="0" fontId="1" fillId="9" borderId="0"/>
    <xf numFmtId="0" fontId="35" fillId="9" borderId="0"/>
    <xf numFmtId="0" fontId="1" fillId="9" borderId="0"/>
    <xf numFmtId="0" fontId="40" fillId="9" borderId="0"/>
    <xf numFmtId="0" fontId="6" fillId="6" borderId="7" applyNumberFormat="0" applyFont="0" applyAlignment="0" applyProtection="0"/>
    <xf numFmtId="0" fontId="35" fillId="7" borderId="7" applyNumberFormat="0" applyFont="0" applyAlignment="0" applyProtection="0"/>
    <xf numFmtId="0" fontId="6" fillId="7" borderId="7" applyNumberFormat="0" applyFont="0" applyAlignment="0" applyProtection="0"/>
    <xf numFmtId="0" fontId="25" fillId="8" borderId="8" applyNumberFormat="0" applyAlignment="0" applyProtection="0"/>
    <xf numFmtId="0" fontId="25" fillId="9" borderId="8" applyNumberFormat="0" applyAlignment="0" applyProtection="0"/>
    <xf numFmtId="9" fontId="1" fillId="0" borderId="0" applyFont="0" applyFill="0" applyBorder="0" applyAlignment="0" applyProtection="0"/>
    <xf numFmtId="9" fontId="4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35" fillId="0" borderId="0"/>
    <xf numFmtId="0" fontId="6" fillId="0" borderId="0"/>
    <xf numFmtId="0" fontId="35" fillId="0" borderId="0"/>
    <xf numFmtId="0" fontId="6" fillId="0" borderId="0"/>
    <xf numFmtId="0" fontId="40" fillId="0" borderId="0"/>
    <xf numFmtId="0" fontId="6" fillId="0" borderId="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445">
    <xf numFmtId="0" fontId="0" fillId="0" borderId="0" xfId="0"/>
    <xf numFmtId="0" fontId="9" fillId="9" borderId="0" xfId="224" applyFont="1"/>
    <xf numFmtId="0" fontId="10" fillId="9" borderId="0" xfId="224" applyFont="1" applyAlignment="1">
      <alignment vertical="center"/>
    </xf>
    <xf numFmtId="0" fontId="9" fillId="9" borderId="0" xfId="224" applyFont="1" applyAlignment="1">
      <alignment vertical="center"/>
    </xf>
    <xf numFmtId="0" fontId="1" fillId="9" borderId="0" xfId="228"/>
    <xf numFmtId="0" fontId="0" fillId="0" borderId="0" xfId="0" applyAlignment="1">
      <alignment horizontal="center"/>
    </xf>
    <xf numFmtId="0" fontId="0" fillId="34" borderId="0" xfId="0" applyFill="1"/>
    <xf numFmtId="0" fontId="0" fillId="34" borderId="0" xfId="0" applyFill="1" applyAlignment="1">
      <alignment horizont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xf numFmtId="14" fontId="6" fillId="0" borderId="0" xfId="0" applyNumberFormat="1" applyFont="1" applyAlignment="1">
      <alignment vertical="center"/>
    </xf>
    <xf numFmtId="43" fontId="0" fillId="0" borderId="0" xfId="0" applyNumberFormat="1"/>
    <xf numFmtId="164" fontId="33" fillId="13" borderId="10" xfId="78" applyNumberFormat="1" applyFont="1" applyFill="1" applyBorder="1" applyAlignment="1"/>
    <xf numFmtId="0" fontId="6" fillId="0" borderId="0" xfId="0" applyFont="1" applyAlignment="1">
      <alignment wrapText="1"/>
    </xf>
    <xf numFmtId="0" fontId="1" fillId="9" borderId="0" xfId="228" applyProtection="1">
      <protection locked="0"/>
    </xf>
    <xf numFmtId="164" fontId="6" fillId="13" borderId="10" xfId="78" applyNumberFormat="1" applyFont="1" applyFill="1" applyBorder="1" applyAlignment="1" applyProtection="1">
      <alignment horizontal="right"/>
    </xf>
    <xf numFmtId="164" fontId="3" fillId="13" borderId="10" xfId="78" applyNumberFormat="1" applyFont="1" applyFill="1" applyBorder="1" applyAlignment="1" applyProtection="1">
      <alignment horizontal="right"/>
    </xf>
    <xf numFmtId="10" fontId="3" fillId="13" borderId="10" xfId="231" applyNumberFormat="1" applyFont="1" applyFill="1" applyBorder="1" applyAlignment="1">
      <alignment horizontal="right"/>
    </xf>
    <xf numFmtId="164" fontId="6" fillId="35" borderId="10" xfId="78" applyNumberFormat="1" applyFont="1" applyFill="1" applyBorder="1" applyAlignment="1" applyProtection="1">
      <alignment horizontal="right"/>
    </xf>
    <xf numFmtId="167" fontId="8" fillId="28" borderId="0" xfId="0" applyNumberFormat="1" applyFont="1" applyFill="1" applyAlignment="1">
      <alignment horizontal="left" vertical="center" wrapText="1"/>
    </xf>
    <xf numFmtId="169" fontId="3" fillId="13" borderId="10" xfId="233" applyNumberFormat="1" applyFont="1" applyFill="1" applyBorder="1" applyAlignment="1">
      <alignment horizontal="right"/>
    </xf>
    <xf numFmtId="166" fontId="3" fillId="13" borderId="10" xfId="233" applyNumberFormat="1" applyFont="1" applyFill="1" applyBorder="1" applyAlignment="1">
      <alignment horizontal="right"/>
    </xf>
    <xf numFmtId="43" fontId="3" fillId="13" borderId="10" xfId="78" applyFont="1" applyFill="1" applyBorder="1" applyAlignment="1" applyProtection="1">
      <alignment horizontal="right"/>
    </xf>
    <xf numFmtId="49" fontId="8" fillId="36" borderId="10" xfId="228" applyNumberFormat="1" applyFont="1" applyFill="1" applyBorder="1" applyAlignment="1">
      <alignment horizontal="left"/>
    </xf>
    <xf numFmtId="49" fontId="54" fillId="36" borderId="10" xfId="228" applyNumberFormat="1" applyFont="1" applyFill="1" applyBorder="1" applyAlignment="1">
      <alignment horizontal="left"/>
    </xf>
    <xf numFmtId="2" fontId="31" fillId="36" borderId="11" xfId="229" applyNumberFormat="1" applyFont="1" applyFill="1" applyBorder="1" applyAlignment="1">
      <alignment horizontal="left" vertical="center" wrapText="1"/>
    </xf>
    <xf numFmtId="167" fontId="8" fillId="36" borderId="10" xfId="228" quotePrefix="1" applyNumberFormat="1" applyFont="1" applyFill="1" applyBorder="1" applyAlignment="1">
      <alignment vertical="center" wrapText="1"/>
    </xf>
    <xf numFmtId="49" fontId="31" fillId="36" borderId="10" xfId="228" applyNumberFormat="1" applyFont="1" applyFill="1" applyBorder="1" applyAlignment="1">
      <alignment horizontal="center" vertical="center" wrapText="1"/>
    </xf>
    <xf numFmtId="167" fontId="37" fillId="36" borderId="10" xfId="228" quotePrefix="1" applyNumberFormat="1" applyFont="1" applyFill="1" applyBorder="1" applyAlignment="1">
      <alignment horizontal="left" vertical="center" wrapText="1"/>
    </xf>
    <xf numFmtId="167" fontId="54" fillId="36" borderId="10" xfId="228" quotePrefix="1" applyNumberFormat="1" applyFont="1" applyFill="1" applyBorder="1" applyAlignment="1">
      <alignment horizontal="left" vertical="center" wrapText="1" indent="1"/>
    </xf>
    <xf numFmtId="167" fontId="55" fillId="36" borderId="10" xfId="228" quotePrefix="1" applyNumberFormat="1" applyFont="1" applyFill="1" applyBorder="1" applyAlignment="1">
      <alignment horizontal="left" vertical="center" wrapText="1"/>
    </xf>
    <xf numFmtId="49" fontId="54" fillId="36" borderId="10" xfId="228" applyNumberFormat="1" applyFont="1" applyFill="1" applyBorder="1" applyAlignment="1">
      <alignment horizontal="left" indent="1"/>
    </xf>
    <xf numFmtId="49" fontId="54" fillId="36" borderId="10" xfId="232" applyNumberFormat="1" applyFont="1" applyFill="1" applyBorder="1" applyAlignment="1">
      <alignment horizontal="left" vertical="center" wrapText="1" indent="1"/>
    </xf>
    <xf numFmtId="167" fontId="31" fillId="36" borderId="10" xfId="228" quotePrefix="1" applyNumberFormat="1" applyFont="1" applyFill="1" applyBorder="1" applyAlignment="1">
      <alignment horizontal="center" vertical="center" wrapText="1"/>
    </xf>
    <xf numFmtId="2" fontId="31" fillId="36" borderId="10" xfId="228" applyNumberFormat="1" applyFont="1" applyFill="1" applyBorder="1" applyAlignment="1">
      <alignment horizontal="center" vertical="center" wrapText="1"/>
    </xf>
    <xf numFmtId="2" fontId="8" fillId="36" borderId="10" xfId="78" applyNumberFormat="1" applyFont="1" applyFill="1" applyBorder="1" applyAlignment="1" applyProtection="1">
      <alignment horizontal="center"/>
    </xf>
    <xf numFmtId="49" fontId="31" fillId="36" borderId="10" xfId="228" applyNumberFormat="1" applyFont="1" applyFill="1" applyBorder="1" applyAlignment="1">
      <alignment horizontal="left"/>
    </xf>
    <xf numFmtId="49" fontId="8" fillId="36" borderId="10" xfId="228" applyNumberFormat="1" applyFont="1" applyFill="1" applyBorder="1" applyAlignment="1">
      <alignment horizontal="left" wrapText="1"/>
    </xf>
    <xf numFmtId="49" fontId="31" fillId="36" borderId="12" xfId="228" applyNumberFormat="1" applyFont="1" applyFill="1" applyBorder="1" applyAlignment="1">
      <alignment horizontal="center" vertical="center" wrapText="1"/>
    </xf>
    <xf numFmtId="49" fontId="31" fillId="36" borderId="13" xfId="228" applyNumberFormat="1" applyFont="1" applyFill="1" applyBorder="1" applyAlignment="1">
      <alignment horizontal="center" vertical="center" wrapText="1"/>
    </xf>
    <xf numFmtId="49" fontId="31" fillId="36" borderId="10" xfId="231" applyNumberFormat="1" applyFont="1" applyFill="1" applyBorder="1" applyAlignment="1">
      <alignment horizontal="center" vertical="center" wrapText="1"/>
    </xf>
    <xf numFmtId="164" fontId="31" fillId="36" borderId="10" xfId="231" applyNumberFormat="1" applyFont="1" applyFill="1" applyBorder="1" applyAlignment="1">
      <alignment horizontal="right" vertical="center" wrapText="1"/>
    </xf>
    <xf numFmtId="49" fontId="31" fillId="36" borderId="10" xfId="231" applyNumberFormat="1" applyFont="1" applyFill="1" applyBorder="1" applyAlignment="1">
      <alignment horizontal="center"/>
    </xf>
    <xf numFmtId="166" fontId="8" fillId="36" borderId="14" xfId="78" applyNumberFormat="1" applyFont="1" applyFill="1" applyBorder="1" applyAlignment="1" applyProtection="1">
      <alignment horizontal="right" vertical="center"/>
    </xf>
    <xf numFmtId="49" fontId="31" fillId="36" borderId="10" xfId="231" applyNumberFormat="1" applyFont="1" applyFill="1" applyBorder="1" applyAlignment="1">
      <alignment horizontal="right" vertical="center" wrapText="1"/>
    </xf>
    <xf numFmtId="49" fontId="31" fillId="36" borderId="14" xfId="231" applyNumberFormat="1" applyFont="1" applyFill="1" applyBorder="1" applyAlignment="1">
      <alignment horizontal="center"/>
    </xf>
    <xf numFmtId="49" fontId="8" fillId="36" borderId="10" xfId="228" applyNumberFormat="1" applyFont="1" applyFill="1" applyBorder="1" applyAlignment="1">
      <alignment wrapText="1"/>
    </xf>
    <xf numFmtId="167" fontId="31" fillId="36" borderId="10" xfId="229" quotePrefix="1" applyNumberFormat="1" applyFont="1" applyFill="1" applyBorder="1" applyAlignment="1">
      <alignment horizontal="center" vertical="center" wrapText="1"/>
    </xf>
    <xf numFmtId="2" fontId="31" fillId="36" borderId="11" xfId="229" applyNumberFormat="1" applyFont="1" applyFill="1" applyBorder="1" applyAlignment="1">
      <alignment horizontal="center" vertical="center" wrapText="1"/>
    </xf>
    <xf numFmtId="2" fontId="56" fillId="36" borderId="11" xfId="229" applyNumberFormat="1" applyFont="1" applyFill="1" applyBorder="1" applyAlignment="1">
      <alignment horizontal="left" vertical="center" wrapText="1"/>
    </xf>
    <xf numFmtId="41" fontId="8" fillId="36" borderId="15" xfId="229" applyNumberFormat="1" applyFont="1" applyFill="1" applyBorder="1" applyAlignment="1">
      <alignment horizontal="left" indent="1"/>
    </xf>
    <xf numFmtId="41" fontId="5" fillId="36" borderId="15" xfId="229" applyNumberFormat="1" applyFont="1" applyFill="1" applyBorder="1"/>
    <xf numFmtId="164" fontId="31" fillId="36" borderId="10" xfId="231" applyNumberFormat="1" applyFont="1" applyFill="1" applyBorder="1" applyAlignment="1">
      <alignment horizontal="center" vertical="center" wrapText="1"/>
    </xf>
    <xf numFmtId="167" fontId="31" fillId="36" borderId="10" xfId="233" applyNumberFormat="1" applyFont="1" applyFill="1" applyBorder="1" applyAlignment="1">
      <alignment horizontal="center" vertical="center" wrapText="1"/>
    </xf>
    <xf numFmtId="49" fontId="31" fillId="36" borderId="10" xfId="233" applyNumberFormat="1" applyFont="1" applyFill="1" applyBorder="1" applyAlignment="1">
      <alignment horizontal="center" vertical="center" wrapText="1"/>
    </xf>
    <xf numFmtId="49" fontId="56" fillId="36" borderId="10" xfId="233" applyNumberFormat="1" applyFont="1" applyFill="1" applyBorder="1" applyAlignment="1">
      <alignment horizontal="center" vertical="center" wrapText="1"/>
    </xf>
    <xf numFmtId="166" fontId="8" fillId="36" borderId="14" xfId="78" applyNumberFormat="1" applyFont="1" applyFill="1" applyBorder="1" applyAlignment="1" applyProtection="1">
      <alignment horizontal="center" vertical="center"/>
    </xf>
    <xf numFmtId="166" fontId="54" fillId="36" borderId="14" xfId="78" applyNumberFormat="1" applyFont="1" applyFill="1" applyBorder="1" applyAlignment="1" applyProtection="1">
      <alignment horizontal="center" vertical="center"/>
    </xf>
    <xf numFmtId="2" fontId="54" fillId="36" borderId="14" xfId="78" applyNumberFormat="1" applyFont="1" applyFill="1" applyBorder="1" applyAlignment="1" applyProtection="1">
      <alignment horizontal="center" vertical="center"/>
    </xf>
    <xf numFmtId="1" fontId="8" fillId="36" borderId="14" xfId="78" applyNumberFormat="1" applyFont="1" applyFill="1" applyBorder="1" applyAlignment="1" applyProtection="1">
      <alignment horizontal="center" vertical="center"/>
    </xf>
    <xf numFmtId="49" fontId="31" fillId="36" borderId="10" xfId="233" applyNumberFormat="1" applyFont="1" applyFill="1" applyBorder="1" applyAlignment="1">
      <alignment horizontal="left" vertical="center" wrapText="1"/>
    </xf>
    <xf numFmtId="167" fontId="8" fillId="36" borderId="10" xfId="0" applyNumberFormat="1" applyFont="1" applyFill="1" applyBorder="1" applyAlignment="1">
      <alignment horizontal="left" vertical="center" wrapText="1"/>
    </xf>
    <xf numFmtId="49" fontId="8" fillId="36" borderId="10" xfId="233" applyNumberFormat="1" applyFont="1" applyFill="1" applyBorder="1" applyAlignment="1">
      <alignment horizontal="left" vertical="center" wrapText="1"/>
    </xf>
    <xf numFmtId="49" fontId="54" fillId="36" borderId="10" xfId="233" applyNumberFormat="1" applyFont="1" applyFill="1" applyBorder="1" applyAlignment="1">
      <alignment horizontal="left" vertical="center" wrapText="1"/>
    </xf>
    <xf numFmtId="166" fontId="57" fillId="36" borderId="10" xfId="233" applyNumberFormat="1" applyFont="1" applyFill="1" applyBorder="1" applyAlignment="1">
      <alignment horizontal="left"/>
    </xf>
    <xf numFmtId="166" fontId="6" fillId="37" borderId="16" xfId="228" applyNumberFormat="1" applyFont="1" applyFill="1" applyBorder="1" applyAlignment="1" applyProtection="1">
      <alignment horizontal="center"/>
      <protection locked="0"/>
    </xf>
    <xf numFmtId="166" fontId="6" fillId="37" borderId="10" xfId="228" applyNumberFormat="1" applyFont="1" applyFill="1" applyBorder="1" applyAlignment="1" applyProtection="1">
      <alignment horizontal="center"/>
      <protection locked="0"/>
    </xf>
    <xf numFmtId="164" fontId="6" fillId="37" borderId="10" xfId="78" applyNumberFormat="1" applyFont="1" applyFill="1" applyBorder="1" applyAlignment="1" applyProtection="1">
      <alignment horizontal="right"/>
      <protection locked="0"/>
    </xf>
    <xf numFmtId="166" fontId="6" fillId="37" borderId="10" xfId="228" applyNumberFormat="1" applyFont="1" applyFill="1" applyBorder="1" applyAlignment="1" applyProtection="1">
      <alignment horizontal="right"/>
      <protection locked="0"/>
    </xf>
    <xf numFmtId="164" fontId="6" fillId="37" borderId="16" xfId="228" applyNumberFormat="1" applyFont="1" applyFill="1" applyBorder="1" applyAlignment="1" applyProtection="1">
      <alignment horizontal="right"/>
      <protection locked="0"/>
    </xf>
    <xf numFmtId="166" fontId="6" fillId="37" borderId="16" xfId="228" applyNumberFormat="1" applyFont="1" applyFill="1" applyBorder="1" applyAlignment="1" applyProtection="1">
      <alignment horizontal="right"/>
      <protection locked="0"/>
    </xf>
    <xf numFmtId="0" fontId="6" fillId="37" borderId="10" xfId="231" applyFont="1" applyFill="1" applyBorder="1" applyProtection="1">
      <protection locked="0"/>
    </xf>
    <xf numFmtId="164" fontId="6" fillId="37" borderId="10" xfId="231" applyNumberFormat="1" applyFont="1" applyFill="1" applyBorder="1" applyAlignment="1" applyProtection="1">
      <alignment horizontal="right"/>
      <protection locked="0"/>
    </xf>
    <xf numFmtId="10" fontId="6" fillId="37" borderId="10" xfId="231" applyNumberFormat="1" applyFont="1" applyFill="1" applyBorder="1" applyAlignment="1" applyProtection="1">
      <alignment horizontal="right"/>
      <protection locked="0"/>
    </xf>
    <xf numFmtId="168" fontId="6" fillId="37" borderId="10" xfId="231" applyNumberFormat="1" applyFont="1" applyFill="1" applyBorder="1" applyProtection="1">
      <protection locked="0"/>
    </xf>
    <xf numFmtId="14" fontId="6" fillId="37" borderId="10" xfId="231" applyNumberFormat="1" applyFont="1" applyFill="1" applyBorder="1" applyAlignment="1" applyProtection="1">
      <alignment horizontal="center"/>
      <protection locked="0"/>
    </xf>
    <xf numFmtId="169" fontId="6" fillId="37" borderId="16" xfId="228" applyNumberFormat="1" applyFont="1" applyFill="1" applyBorder="1" applyAlignment="1" applyProtection="1">
      <alignment horizontal="right"/>
      <protection locked="0"/>
    </xf>
    <xf numFmtId="166" fontId="6" fillId="37" borderId="10" xfId="233" applyNumberFormat="1" applyFont="1" applyFill="1" applyBorder="1" applyAlignment="1" applyProtection="1">
      <alignment horizontal="right"/>
      <protection locked="0"/>
    </xf>
    <xf numFmtId="169" fontId="6" fillId="37" borderId="10" xfId="233" applyNumberFormat="1" applyFont="1" applyFill="1" applyBorder="1" applyAlignment="1" applyProtection="1">
      <alignment horizontal="right"/>
      <protection locked="0"/>
    </xf>
    <xf numFmtId="1" fontId="6" fillId="37" borderId="10" xfId="233" applyNumberFormat="1" applyFont="1" applyFill="1" applyBorder="1" applyAlignment="1" applyProtection="1">
      <alignment horizontal="right"/>
      <protection locked="0"/>
    </xf>
    <xf numFmtId="164" fontId="6" fillId="37" borderId="10" xfId="233" applyNumberFormat="1" applyFont="1" applyFill="1" applyBorder="1" applyAlignment="1" applyProtection="1">
      <alignment horizontal="right"/>
      <protection locked="0"/>
    </xf>
    <xf numFmtId="14" fontId="6" fillId="37" borderId="10" xfId="231" applyNumberFormat="1" applyFont="1" applyFill="1" applyBorder="1" applyProtection="1">
      <protection locked="0"/>
    </xf>
    <xf numFmtId="164" fontId="6" fillId="37" borderId="10" xfId="231" applyNumberFormat="1" applyFont="1" applyFill="1" applyBorder="1" applyProtection="1">
      <protection locked="0"/>
    </xf>
    <xf numFmtId="167" fontId="38" fillId="38" borderId="0" xfId="0" applyNumberFormat="1" applyFont="1" applyFill="1" applyAlignment="1">
      <alignment horizontal="left" vertical="center" wrapText="1"/>
    </xf>
    <xf numFmtId="10" fontId="33" fillId="13" borderId="10" xfId="240" applyNumberFormat="1" applyFont="1" applyFill="1" applyBorder="1" applyAlignment="1">
      <alignment horizontal="right"/>
    </xf>
    <xf numFmtId="41" fontId="8" fillId="38" borderId="10" xfId="229" applyNumberFormat="1" applyFont="1" applyFill="1" applyBorder="1"/>
    <xf numFmtId="41" fontId="56" fillId="38" borderId="10" xfId="229" applyNumberFormat="1" applyFont="1" applyFill="1" applyBorder="1" applyAlignment="1">
      <alignment horizontal="left"/>
    </xf>
    <xf numFmtId="41" fontId="31" fillId="38" borderId="10" xfId="229" applyNumberFormat="1" applyFont="1" applyFill="1" applyBorder="1"/>
    <xf numFmtId="167" fontId="8" fillId="38" borderId="0" xfId="0" applyNumberFormat="1" applyFont="1" applyFill="1" applyAlignment="1">
      <alignment horizontal="left" vertical="center" wrapText="1"/>
    </xf>
    <xf numFmtId="49" fontId="31" fillId="36" borderId="10" xfId="231" applyNumberFormat="1" applyFont="1" applyFill="1" applyBorder="1" applyAlignment="1">
      <alignment horizontal="center" vertical="center"/>
    </xf>
    <xf numFmtId="164" fontId="6" fillId="39" borderId="10" xfId="78" applyNumberFormat="1" applyFont="1" applyFill="1" applyBorder="1" applyAlignment="1" applyProtection="1">
      <alignment horizontal="right"/>
    </xf>
    <xf numFmtId="0" fontId="50" fillId="32" borderId="0" xfId="151">
      <alignment vertical="center"/>
    </xf>
    <xf numFmtId="0" fontId="42" fillId="0" borderId="0" xfId="0" applyFont="1" applyAlignment="1">
      <alignment horizontal="right" indent="2"/>
    </xf>
    <xf numFmtId="0" fontId="42" fillId="0" borderId="0" xfId="0" applyFont="1"/>
    <xf numFmtId="0" fontId="42" fillId="0" borderId="17" xfId="0" applyFont="1" applyBorder="1"/>
    <xf numFmtId="0" fontId="42" fillId="0" borderId="18" xfId="0" applyFont="1" applyBorder="1"/>
    <xf numFmtId="49" fontId="58" fillId="38" borderId="0" xfId="152" applyFont="1" applyFill="1">
      <alignment vertical="center"/>
    </xf>
    <xf numFmtId="14" fontId="58" fillId="38" borderId="0" xfId="228" applyNumberFormat="1" applyFont="1" applyFill="1" applyAlignment="1">
      <alignment horizontal="left"/>
    </xf>
    <xf numFmtId="14" fontId="58" fillId="38" borderId="0" xfId="228" applyNumberFormat="1" applyFont="1" applyFill="1" applyAlignment="1">
      <alignment horizontal="right"/>
    </xf>
    <xf numFmtId="14" fontId="50" fillId="38" borderId="0" xfId="228" applyNumberFormat="1" applyFont="1" applyFill="1" applyAlignment="1">
      <alignment horizontal="right"/>
    </xf>
    <xf numFmtId="0" fontId="0" fillId="9" borderId="0" xfId="228" applyFont="1"/>
    <xf numFmtId="167" fontId="8" fillId="36" borderId="10" xfId="0" applyNumberFormat="1" applyFont="1" applyFill="1" applyBorder="1" applyAlignment="1">
      <alignment horizontal="center" vertical="center" wrapText="1"/>
    </xf>
    <xf numFmtId="167" fontId="31" fillId="36" borderId="10" xfId="0" applyNumberFormat="1" applyFont="1" applyFill="1" applyBorder="1" applyAlignment="1">
      <alignment horizontal="center" vertical="center" wrapText="1"/>
    </xf>
    <xf numFmtId="167" fontId="57" fillId="36" borderId="10" xfId="0" applyNumberFormat="1" applyFont="1" applyFill="1" applyBorder="1" applyAlignment="1">
      <alignment horizontal="center" vertical="center" wrapText="1"/>
    </xf>
    <xf numFmtId="0" fontId="6" fillId="37" borderId="10" xfId="228" applyFont="1" applyFill="1" applyBorder="1" applyAlignment="1" applyProtection="1">
      <alignment horizontal="center"/>
      <protection locked="0"/>
    </xf>
    <xf numFmtId="0" fontId="0" fillId="40" borderId="0" xfId="0" applyFill="1"/>
    <xf numFmtId="0" fontId="4" fillId="40" borderId="0" xfId="0" applyFont="1" applyFill="1"/>
    <xf numFmtId="49" fontId="31" fillId="36" borderId="10" xfId="228" applyNumberFormat="1" applyFont="1" applyFill="1" applyBorder="1" applyAlignment="1">
      <alignment horizontal="left" vertical="center" wrapText="1"/>
    </xf>
    <xf numFmtId="2" fontId="8" fillId="36" borderId="0" xfId="78" applyNumberFormat="1" applyFont="1" applyFill="1" applyBorder="1" applyAlignment="1" applyProtection="1">
      <alignment horizontal="center"/>
    </xf>
    <xf numFmtId="49" fontId="8" fillId="36" borderId="10" xfId="229" applyNumberFormat="1" applyFont="1" applyFill="1" applyBorder="1" applyAlignment="1">
      <alignment horizontal="center" vertical="center"/>
    </xf>
    <xf numFmtId="170" fontId="6" fillId="13" borderId="10" xfId="80" applyNumberFormat="1" applyFont="1" applyFill="1" applyBorder="1" applyAlignment="1" applyProtection="1">
      <alignment horizontal="right"/>
    </xf>
    <xf numFmtId="2" fontId="8" fillId="36" borderId="10" xfId="80" applyNumberFormat="1" applyFont="1" applyFill="1" applyBorder="1" applyAlignment="1" applyProtection="1">
      <alignment horizontal="center"/>
    </xf>
    <xf numFmtId="49" fontId="54" fillId="36" borderId="10" xfId="229" applyNumberFormat="1" applyFont="1" applyFill="1" applyBorder="1"/>
    <xf numFmtId="164" fontId="6" fillId="13" borderId="10" xfId="80" applyNumberFormat="1" applyFont="1" applyFill="1" applyBorder="1" applyAlignment="1" applyProtection="1">
      <alignment horizontal="right"/>
    </xf>
    <xf numFmtId="164" fontId="3" fillId="13" borderId="10" xfId="80" applyNumberFormat="1" applyFont="1" applyFill="1" applyBorder="1" applyAlignment="1" applyProtection="1">
      <alignment horizontal="right"/>
    </xf>
    <xf numFmtId="164" fontId="3" fillId="39" borderId="10" xfId="80" applyNumberFormat="1" applyFont="1" applyFill="1" applyBorder="1" applyAlignment="1" applyProtection="1">
      <alignment horizontal="right"/>
    </xf>
    <xf numFmtId="10" fontId="3" fillId="13" borderId="10" xfId="80" applyNumberFormat="1" applyFont="1" applyFill="1" applyBorder="1" applyAlignment="1" applyProtection="1">
      <alignment horizontal="right"/>
    </xf>
    <xf numFmtId="0" fontId="8" fillId="36" borderId="10" xfId="228" applyFont="1" applyFill="1" applyBorder="1" applyAlignment="1">
      <alignment horizontal="left"/>
    </xf>
    <xf numFmtId="49" fontId="31" fillId="38" borderId="10" xfId="228" applyNumberFormat="1" applyFont="1" applyFill="1" applyBorder="1" applyAlignment="1">
      <alignment horizontal="left"/>
    </xf>
    <xf numFmtId="164" fontId="33" fillId="13" borderId="10" xfId="78" applyNumberFormat="1" applyFont="1" applyFill="1" applyBorder="1" applyAlignment="1">
      <alignment horizontal="right"/>
    </xf>
    <xf numFmtId="2" fontId="6" fillId="37" borderId="16" xfId="228" applyNumberFormat="1" applyFont="1" applyFill="1" applyBorder="1" applyAlignment="1" applyProtection="1">
      <alignment horizontal="right"/>
      <protection locked="0"/>
    </xf>
    <xf numFmtId="167" fontId="8" fillId="36" borderId="10" xfId="228" quotePrefix="1" applyNumberFormat="1" applyFont="1" applyFill="1" applyBorder="1" applyAlignment="1">
      <alignment horizontal="left" vertical="center" wrapText="1"/>
    </xf>
    <xf numFmtId="0" fontId="6" fillId="37" borderId="10" xfId="231" applyFont="1" applyFill="1" applyBorder="1" applyAlignment="1" applyProtection="1">
      <alignment horizontal="left" vertical="center"/>
      <protection locked="0"/>
    </xf>
    <xf numFmtId="164" fontId="6" fillId="40" borderId="10" xfId="231" applyNumberFormat="1" applyFont="1" applyFill="1" applyBorder="1" applyAlignment="1">
      <alignment horizontal="right"/>
    </xf>
    <xf numFmtId="10" fontId="6" fillId="40" borderId="10" xfId="231" applyNumberFormat="1" applyFont="1" applyFill="1" applyBorder="1" applyAlignment="1">
      <alignment horizontal="right"/>
    </xf>
    <xf numFmtId="10" fontId="6" fillId="13" borderId="10" xfId="78" applyNumberFormat="1" applyFont="1" applyFill="1" applyBorder="1" applyAlignment="1" applyProtection="1">
      <alignment horizontal="right"/>
    </xf>
    <xf numFmtId="164" fontId="33" fillId="13" borderId="10" xfId="78" applyNumberFormat="1" applyFont="1" applyFill="1" applyBorder="1" applyAlignment="1" applyProtection="1">
      <alignment horizontal="right"/>
    </xf>
    <xf numFmtId="164" fontId="6" fillId="36" borderId="10" xfId="78" applyNumberFormat="1" applyFont="1" applyFill="1" applyBorder="1" applyAlignment="1" applyProtection="1">
      <alignment horizontal="right"/>
    </xf>
    <xf numFmtId="164" fontId="6" fillId="37" borderId="10" xfId="78" applyNumberFormat="1" applyFont="1" applyFill="1" applyBorder="1" applyAlignment="1" applyProtection="1">
      <alignment horizontal="right" indent="1"/>
      <protection locked="0"/>
    </xf>
    <xf numFmtId="164" fontId="32" fillId="13" borderId="10" xfId="78" applyNumberFormat="1" applyFont="1" applyFill="1" applyBorder="1" applyAlignment="1" applyProtection="1">
      <alignment horizontal="right"/>
    </xf>
    <xf numFmtId="49" fontId="50" fillId="38" borderId="0" xfId="152" applyFill="1">
      <alignment vertical="center"/>
    </xf>
    <xf numFmtId="167" fontId="31" fillId="36" borderId="10" xfId="228" quotePrefix="1" applyNumberFormat="1" applyFont="1" applyFill="1" applyBorder="1" applyAlignment="1">
      <alignment horizontal="left" vertical="center" wrapText="1"/>
    </xf>
    <xf numFmtId="173" fontId="33" fillId="13" borderId="10" xfId="80" applyNumberFormat="1" applyFont="1" applyFill="1" applyBorder="1" applyAlignment="1">
      <alignment horizontal="right"/>
    </xf>
    <xf numFmtId="173" fontId="33" fillId="13" borderId="10" xfId="80" applyNumberFormat="1" applyFont="1" applyFill="1" applyBorder="1" applyAlignment="1">
      <alignment horizontal="center" vertical="center"/>
    </xf>
    <xf numFmtId="1" fontId="6" fillId="37" borderId="16" xfId="228" applyNumberFormat="1" applyFont="1" applyFill="1" applyBorder="1" applyAlignment="1" applyProtection="1">
      <alignment horizontal="right"/>
      <protection locked="0"/>
    </xf>
    <xf numFmtId="14" fontId="6" fillId="37" borderId="16" xfId="228" applyNumberFormat="1" applyFont="1" applyFill="1" applyBorder="1" applyAlignment="1" applyProtection="1">
      <alignment horizontal="right"/>
      <protection locked="0"/>
    </xf>
    <xf numFmtId="164" fontId="3" fillId="39" borderId="10" xfId="78" applyNumberFormat="1" applyFont="1" applyFill="1" applyBorder="1" applyAlignment="1" applyProtection="1">
      <alignment horizontal="right"/>
    </xf>
    <xf numFmtId="0" fontId="43" fillId="0" borderId="19" xfId="0" applyFont="1" applyBorder="1"/>
    <xf numFmtId="0" fontId="43" fillId="0" borderId="20" xfId="0" applyFont="1" applyBorder="1"/>
    <xf numFmtId="0" fontId="43" fillId="0" borderId="21" xfId="0" applyFont="1" applyBorder="1"/>
    <xf numFmtId="0" fontId="43" fillId="0" borderId="17" xfId="0" applyFont="1" applyBorder="1"/>
    <xf numFmtId="0" fontId="43" fillId="0" borderId="18" xfId="0" applyFont="1" applyBorder="1"/>
    <xf numFmtId="0" fontId="43" fillId="0" borderId="0" xfId="0" applyFont="1"/>
    <xf numFmtId="0" fontId="43" fillId="0" borderId="22" xfId="0" applyFont="1" applyBorder="1"/>
    <xf numFmtId="0" fontId="43" fillId="0" borderId="23" xfId="0" applyFont="1" applyBorder="1" applyAlignment="1">
      <alignment horizontal="right" indent="2"/>
    </xf>
    <xf numFmtId="0" fontId="43" fillId="0" borderId="23" xfId="0" applyFont="1" applyBorder="1"/>
    <xf numFmtId="0" fontId="43" fillId="0" borderId="24" xfId="0" applyFont="1" applyBorder="1"/>
    <xf numFmtId="0" fontId="58" fillId="38" borderId="0" xfId="0" applyFont="1" applyFill="1" applyAlignment="1">
      <alignment horizontal="right" indent="2"/>
    </xf>
    <xf numFmtId="0" fontId="59" fillId="38" borderId="0" xfId="160" quotePrefix="1" applyFont="1" applyFill="1" applyBorder="1" applyAlignment="1" applyProtection="1"/>
    <xf numFmtId="0" fontId="59" fillId="38" borderId="0" xfId="0" quotePrefix="1" applyFont="1" applyFill="1" applyAlignment="1">
      <alignment horizontal="left"/>
    </xf>
    <xf numFmtId="0" fontId="60" fillId="40" borderId="0" xfId="160" quotePrefix="1" applyFont="1" applyFill="1" applyBorder="1" applyAlignment="1" applyProtection="1"/>
    <xf numFmtId="0" fontId="60" fillId="40" borderId="0" xfId="0" quotePrefix="1" applyFont="1" applyFill="1" applyAlignment="1">
      <alignment horizontal="left"/>
    </xf>
    <xf numFmtId="0" fontId="44" fillId="37" borderId="12" xfId="229" applyFont="1" applyFill="1" applyBorder="1" applyAlignment="1" applyProtection="1">
      <alignment horizontal="right" vertical="center"/>
      <protection locked="0"/>
    </xf>
    <xf numFmtId="0" fontId="46" fillId="41" borderId="0" xfId="0" applyFont="1" applyFill="1"/>
    <xf numFmtId="0" fontId="61" fillId="41" borderId="0" xfId="0" applyFont="1" applyFill="1"/>
    <xf numFmtId="0" fontId="6" fillId="37" borderId="10" xfId="233" applyFont="1" applyFill="1" applyBorder="1" applyAlignment="1" applyProtection="1">
      <alignment horizontal="right"/>
      <protection locked="0"/>
    </xf>
    <xf numFmtId="2" fontId="8" fillId="36" borderId="10" xfId="229" applyNumberFormat="1" applyFont="1" applyFill="1" applyBorder="1" applyAlignment="1">
      <alignment horizontal="center" vertical="center" wrapText="1"/>
    </xf>
    <xf numFmtId="41" fontId="8" fillId="36" borderId="10" xfId="229" applyNumberFormat="1" applyFont="1" applyFill="1" applyBorder="1" applyAlignment="1">
      <alignment horizontal="left" indent="1"/>
    </xf>
    <xf numFmtId="49" fontId="56" fillId="36" borderId="10" xfId="229" applyNumberFormat="1" applyFont="1" applyFill="1" applyBorder="1" applyAlignment="1">
      <alignment horizontal="left" vertical="center" wrapText="1"/>
    </xf>
    <xf numFmtId="10" fontId="6" fillId="0" borderId="0" xfId="218" applyNumberFormat="1"/>
    <xf numFmtId="166" fontId="33" fillId="39" borderId="10" xfId="80" applyNumberFormat="1" applyFont="1" applyFill="1" applyBorder="1" applyAlignment="1" applyProtection="1">
      <alignment horizontal="right"/>
    </xf>
    <xf numFmtId="49" fontId="56" fillId="36" borderId="10" xfId="229" applyNumberFormat="1" applyFont="1" applyFill="1" applyBorder="1"/>
    <xf numFmtId="171" fontId="33" fillId="13" borderId="10" xfId="80" applyNumberFormat="1" applyFont="1" applyFill="1" applyBorder="1" applyAlignment="1" applyProtection="1">
      <alignment horizontal="right"/>
    </xf>
    <xf numFmtId="164" fontId="33" fillId="13" borderId="10" xfId="80" applyNumberFormat="1" applyFont="1" applyFill="1" applyBorder="1" applyAlignment="1" applyProtection="1"/>
    <xf numFmtId="170" fontId="33" fillId="13" borderId="10" xfId="80" applyNumberFormat="1" applyFont="1" applyFill="1" applyBorder="1" applyAlignment="1" applyProtection="1"/>
    <xf numFmtId="0" fontId="6" fillId="0" borderId="0" xfId="218" applyAlignment="1">
      <alignment horizontal="left" vertical="center" wrapText="1"/>
    </xf>
    <xf numFmtId="49" fontId="8" fillId="36" borderId="10" xfId="229" applyNumberFormat="1" applyFont="1" applyFill="1" applyBorder="1" applyAlignment="1">
      <alignment horizontal="left" vertical="center" wrapText="1"/>
    </xf>
    <xf numFmtId="49" fontId="31" fillId="36" borderId="10" xfId="229" applyNumberFormat="1" applyFont="1" applyFill="1" applyBorder="1" applyAlignment="1">
      <alignment horizontal="left" vertical="center" wrapText="1"/>
    </xf>
    <xf numFmtId="172" fontId="33" fillId="13" borderId="25" xfId="80" applyNumberFormat="1" applyFont="1" applyFill="1" applyBorder="1" applyAlignment="1" applyProtection="1">
      <alignment horizontal="right"/>
    </xf>
    <xf numFmtId="172" fontId="33" fillId="13" borderId="26" xfId="80" applyNumberFormat="1" applyFont="1" applyFill="1" applyBorder="1" applyAlignment="1" applyProtection="1">
      <alignment horizontal="right"/>
    </xf>
    <xf numFmtId="172" fontId="33" fillId="13" borderId="27" xfId="80" applyNumberFormat="1" applyFont="1" applyFill="1" applyBorder="1" applyAlignment="1" applyProtection="1">
      <alignment horizontal="right"/>
    </xf>
    <xf numFmtId="172" fontId="33" fillId="13" borderId="10" xfId="80" applyNumberFormat="1" applyFont="1" applyFill="1" applyBorder="1" applyAlignment="1" applyProtection="1">
      <alignment horizontal="right"/>
    </xf>
    <xf numFmtId="172" fontId="33" fillId="13" borderId="28" xfId="80" applyNumberFormat="1" applyFont="1" applyFill="1" applyBorder="1" applyAlignment="1" applyProtection="1">
      <alignment horizontal="right"/>
    </xf>
    <xf numFmtId="172" fontId="33" fillId="13" borderId="29" xfId="80" applyNumberFormat="1" applyFont="1" applyFill="1" applyBorder="1" applyAlignment="1" applyProtection="1">
      <alignment horizontal="right"/>
    </xf>
    <xf numFmtId="49" fontId="8" fillId="36" borderId="29" xfId="229" applyNumberFormat="1" applyFont="1" applyFill="1" applyBorder="1" applyAlignment="1">
      <alignment horizontal="center" vertical="center" wrapText="1"/>
    </xf>
    <xf numFmtId="0" fontId="6" fillId="0" borderId="0" xfId="218" applyAlignment="1">
      <alignment horizontal="center" vertical="center"/>
    </xf>
    <xf numFmtId="49" fontId="31" fillId="36" borderId="15" xfId="229" applyNumberFormat="1" applyFont="1" applyFill="1" applyBorder="1" applyAlignment="1">
      <alignment horizontal="center" vertical="center"/>
    </xf>
    <xf numFmtId="0" fontId="4" fillId="40" borderId="0" xfId="229" applyFont="1" applyFill="1"/>
    <xf numFmtId="173" fontId="33" fillId="13" borderId="10" xfId="80" applyNumberFormat="1" applyFont="1" applyFill="1" applyBorder="1" applyAlignment="1" applyProtection="1">
      <alignment horizontal="right"/>
    </xf>
    <xf numFmtId="49" fontId="54" fillId="36" borderId="10" xfId="229" applyNumberFormat="1" applyFont="1" applyFill="1" applyBorder="1" applyAlignment="1">
      <alignment horizontal="center" vertical="center"/>
    </xf>
    <xf numFmtId="49" fontId="54" fillId="38" borderId="10" xfId="229" applyNumberFormat="1" applyFont="1" applyFill="1" applyBorder="1"/>
    <xf numFmtId="49" fontId="8" fillId="36" borderId="0" xfId="229" applyNumberFormat="1" applyFont="1" applyFill="1" applyAlignment="1">
      <alignment horizontal="left"/>
    </xf>
    <xf numFmtId="49" fontId="8" fillId="36" borderId="10" xfId="229" applyNumberFormat="1" applyFont="1" applyFill="1" applyBorder="1" applyAlignment="1">
      <alignment horizontal="left"/>
    </xf>
    <xf numFmtId="0" fontId="4" fillId="9" borderId="0" xfId="229" applyFont="1"/>
    <xf numFmtId="0" fontId="6" fillId="0" borderId="0" xfId="218"/>
    <xf numFmtId="0" fontId="6" fillId="9" borderId="0" xfId="229"/>
    <xf numFmtId="14" fontId="54" fillId="36" borderId="10" xfId="228" applyNumberFormat="1" applyFont="1" applyFill="1" applyBorder="1" applyAlignment="1">
      <alignment horizontal="right"/>
    </xf>
    <xf numFmtId="14" fontId="56" fillId="36" borderId="10" xfId="228" applyNumberFormat="1" applyFont="1" applyFill="1" applyBorder="1" applyAlignment="1">
      <alignment horizontal="right"/>
    </xf>
    <xf numFmtId="49" fontId="54" fillId="36" borderId="10" xfId="232" applyNumberFormat="1" applyFont="1" applyFill="1" applyBorder="1" applyAlignment="1">
      <alignment horizontal="left" vertical="center" wrapText="1"/>
    </xf>
    <xf numFmtId="0" fontId="62" fillId="0" borderId="0" xfId="0" applyFont="1"/>
    <xf numFmtId="0" fontId="0" fillId="0" borderId="0" xfId="0" applyAlignment="1">
      <alignment horizontal="left" vertical="center"/>
    </xf>
    <xf numFmtId="0" fontId="4" fillId="0" borderId="0" xfId="0" applyFont="1"/>
    <xf numFmtId="9" fontId="33" fillId="37" borderId="10" xfId="242" applyFont="1" applyFill="1" applyBorder="1" applyAlignment="1" applyProtection="1">
      <alignment horizontal="right"/>
      <protection locked="0"/>
    </xf>
    <xf numFmtId="10" fontId="33" fillId="37" borderId="10" xfId="242" applyNumberFormat="1" applyFont="1" applyFill="1" applyBorder="1" applyAlignment="1" applyProtection="1">
      <alignment horizontal="right"/>
      <protection locked="0"/>
    </xf>
    <xf numFmtId="49" fontId="31" fillId="36" borderId="0" xfId="229" applyNumberFormat="1" applyFont="1" applyFill="1" applyAlignment="1">
      <alignment horizontal="left" vertical="center" wrapText="1"/>
    </xf>
    <xf numFmtId="2" fontId="33" fillId="13" borderId="10" xfId="80" applyNumberFormat="1" applyFont="1" applyFill="1" applyBorder="1" applyAlignment="1" applyProtection="1">
      <alignment horizontal="right"/>
    </xf>
    <xf numFmtId="49" fontId="8" fillId="36" borderId="0" xfId="229" applyNumberFormat="1" applyFont="1" applyFill="1" applyAlignment="1">
      <alignment horizontal="left" vertical="center" wrapText="1"/>
    </xf>
    <xf numFmtId="10" fontId="6" fillId="39" borderId="10" xfId="80" applyNumberFormat="1" applyFont="1" applyFill="1" applyBorder="1" applyAlignment="1" applyProtection="1">
      <alignment horizontal="right"/>
    </xf>
    <xf numFmtId="0" fontId="30" fillId="9" borderId="0" xfId="227" applyFont="1" applyFill="1"/>
    <xf numFmtId="0" fontId="1" fillId="9" borderId="0" xfId="231"/>
    <xf numFmtId="0" fontId="2" fillId="9" borderId="0" xfId="231" applyFont="1"/>
    <xf numFmtId="166" fontId="4" fillId="9" borderId="0" xfId="231" applyNumberFormat="1" applyFont="1" applyAlignment="1">
      <alignment horizontal="left"/>
    </xf>
    <xf numFmtId="49" fontId="6" fillId="9" borderId="0" xfId="231" applyNumberFormat="1" applyFont="1"/>
    <xf numFmtId="164" fontId="6" fillId="39" borderId="10" xfId="231" applyNumberFormat="1" applyFont="1" applyFill="1" applyBorder="1" applyAlignment="1">
      <alignment horizontal="right"/>
    </xf>
    <xf numFmtId="166" fontId="4" fillId="0" borderId="0" xfId="231" applyNumberFormat="1" applyFont="1" applyFill="1" applyAlignment="1">
      <alignment horizontal="left"/>
    </xf>
    <xf numFmtId="164" fontId="6" fillId="9" borderId="0" xfId="231" applyNumberFormat="1" applyFont="1"/>
    <xf numFmtId="49" fontId="31" fillId="36" borderId="10" xfId="234" applyNumberFormat="1" applyFont="1" applyFill="1" applyBorder="1" applyAlignment="1">
      <alignment horizontal="left" vertical="center" wrapText="1"/>
    </xf>
    <xf numFmtId="0" fontId="63" fillId="0" borderId="0" xfId="0" applyFont="1" applyAlignment="1">
      <alignment vertical="center"/>
    </xf>
    <xf numFmtId="0" fontId="4" fillId="9" borderId="0" xfId="228" applyFont="1"/>
    <xf numFmtId="166" fontId="3" fillId="9" borderId="0" xfId="228" applyNumberFormat="1" applyFont="1" applyAlignment="1">
      <alignment horizontal="left"/>
    </xf>
    <xf numFmtId="164" fontId="6" fillId="9" borderId="0" xfId="228" applyNumberFormat="1" applyFont="1" applyAlignment="1">
      <alignment horizontal="center"/>
    </xf>
    <xf numFmtId="14" fontId="6" fillId="39" borderId="16" xfId="228" applyNumberFormat="1" applyFont="1" applyFill="1" applyBorder="1" applyAlignment="1">
      <alignment horizontal="center"/>
    </xf>
    <xf numFmtId="0" fontId="64" fillId="0" borderId="0" xfId="0" applyFont="1"/>
    <xf numFmtId="49" fontId="8" fillId="36" borderId="28" xfId="229" applyNumberFormat="1" applyFont="1" applyFill="1" applyBorder="1" applyAlignment="1">
      <alignment horizontal="center" vertical="center" wrapText="1"/>
    </xf>
    <xf numFmtId="2" fontId="31" fillId="36" borderId="10" xfId="229" applyNumberFormat="1" applyFont="1" applyFill="1" applyBorder="1" applyAlignment="1">
      <alignment horizontal="center" vertical="center" wrapText="1"/>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0" fontId="1" fillId="9" borderId="0" xfId="226"/>
    <xf numFmtId="0" fontId="50" fillId="38" borderId="0" xfId="226" applyFont="1" applyFill="1" applyAlignment="1">
      <alignment vertical="center"/>
    </xf>
    <xf numFmtId="0" fontId="1" fillId="9" borderId="0" xfId="226" applyAlignment="1">
      <alignment horizontal="left" vertical="center"/>
    </xf>
    <xf numFmtId="0" fontId="65" fillId="36" borderId="0" xfId="226" applyFont="1" applyFill="1" applyAlignment="1">
      <alignment vertical="center"/>
    </xf>
    <xf numFmtId="0" fontId="66" fillId="36" borderId="0" xfId="226" applyFont="1" applyFill="1" applyAlignment="1">
      <alignment vertical="center"/>
    </xf>
    <xf numFmtId="0" fontId="56" fillId="36" borderId="0" xfId="226" applyFont="1" applyFill="1" applyAlignment="1">
      <alignment vertical="center"/>
    </xf>
    <xf numFmtId="0" fontId="3" fillId="9" borderId="0" xfId="226" applyFont="1"/>
    <xf numFmtId="0" fontId="44" fillId="9" borderId="0" xfId="226" applyFont="1" applyAlignment="1">
      <alignment horizontal="left" vertical="center"/>
    </xf>
    <xf numFmtId="0" fontId="67" fillId="36" borderId="17" xfId="226" applyFont="1" applyFill="1" applyBorder="1" applyAlignment="1">
      <alignment vertical="center"/>
    </xf>
    <xf numFmtId="0" fontId="67" fillId="36" borderId="0" xfId="226" applyFont="1" applyFill="1" applyAlignment="1">
      <alignment vertical="center"/>
    </xf>
    <xf numFmtId="0" fontId="67" fillId="38" borderId="0" xfId="226" applyFont="1" applyFill="1" applyAlignment="1">
      <alignment vertical="center"/>
    </xf>
    <xf numFmtId="0" fontId="67" fillId="38" borderId="18" xfId="226" applyFont="1" applyFill="1" applyBorder="1" applyAlignment="1">
      <alignment vertical="center"/>
    </xf>
    <xf numFmtId="2" fontId="4" fillId="9" borderId="0" xfId="226" applyNumberFormat="1" applyFont="1" applyAlignment="1">
      <alignment horizontal="left" vertical="center"/>
    </xf>
    <xf numFmtId="0" fontId="4" fillId="9" borderId="0" xfId="226" applyFont="1" applyAlignment="1">
      <alignment horizontal="left" vertical="center"/>
    </xf>
    <xf numFmtId="0" fontId="44" fillId="9" borderId="0" xfId="226" applyFont="1" applyAlignment="1">
      <alignment horizontal="right" vertical="center"/>
    </xf>
    <xf numFmtId="0" fontId="44" fillId="9" borderId="0" xfId="226" applyFont="1"/>
    <xf numFmtId="0" fontId="45" fillId="36" borderId="0" xfId="229" applyFont="1" applyFill="1"/>
    <xf numFmtId="0" fontId="45" fillId="36" borderId="0" xfId="229" applyFont="1" applyFill="1" applyAlignment="1">
      <alignment horizontal="right" indent="1"/>
    </xf>
    <xf numFmtId="0" fontId="44" fillId="36" borderId="0" xfId="229" applyFont="1" applyFill="1"/>
    <xf numFmtId="0" fontId="67" fillId="36" borderId="17" xfId="229" applyFont="1" applyFill="1" applyBorder="1" applyAlignment="1">
      <alignment horizontal="left" indent="1"/>
    </xf>
    <xf numFmtId="0" fontId="68" fillId="9" borderId="0" xfId="226" applyFont="1"/>
    <xf numFmtId="0" fontId="2" fillId="9" borderId="0" xfId="228" applyFont="1"/>
    <xf numFmtId="164" fontId="6" fillId="9" borderId="0" xfId="228" applyNumberFormat="1" applyFont="1"/>
    <xf numFmtId="39" fontId="6" fillId="9" borderId="0" xfId="228" applyNumberFormat="1" applyFont="1"/>
    <xf numFmtId="0" fontId="6" fillId="9" borderId="0" xfId="228" applyFont="1"/>
    <xf numFmtId="0" fontId="36" fillId="35" borderId="10" xfId="228" applyFont="1" applyFill="1" applyBorder="1"/>
    <xf numFmtId="0" fontId="6" fillId="42" borderId="0" xfId="228" applyFont="1" applyFill="1"/>
    <xf numFmtId="0" fontId="4" fillId="0" borderId="0" xfId="230" applyFont="1" applyFill="1" applyAlignment="1">
      <alignment vertical="center"/>
    </xf>
    <xf numFmtId="166" fontId="3" fillId="9" borderId="0" xfId="229" applyNumberFormat="1" applyFont="1" applyAlignment="1">
      <alignment horizontal="left"/>
    </xf>
    <xf numFmtId="49" fontId="6" fillId="9" borderId="0" xfId="229" applyNumberFormat="1"/>
    <xf numFmtId="2" fontId="6" fillId="9" borderId="0" xfId="229" applyNumberFormat="1"/>
    <xf numFmtId="49" fontId="31" fillId="36" borderId="10" xfId="229" applyNumberFormat="1" applyFont="1" applyFill="1" applyBorder="1" applyAlignment="1">
      <alignment horizontal="center" vertical="center" wrapText="1"/>
    </xf>
    <xf numFmtId="166" fontId="8" fillId="36" borderId="10" xfId="229" applyNumberFormat="1" applyFont="1" applyFill="1" applyBorder="1" applyAlignment="1">
      <alignment horizontal="left"/>
    </xf>
    <xf numFmtId="0" fontId="8" fillId="36" borderId="10" xfId="229" applyFont="1" applyFill="1" applyBorder="1"/>
    <xf numFmtId="0" fontId="6" fillId="37" borderId="10" xfId="80" applyNumberFormat="1" applyFont="1" applyFill="1" applyBorder="1" applyAlignment="1" applyProtection="1">
      <alignment horizontal="right"/>
    </xf>
    <xf numFmtId="0" fontId="31" fillId="36" borderId="10" xfId="229" applyFont="1" applyFill="1" applyBorder="1"/>
    <xf numFmtId="49" fontId="31" fillId="38" borderId="10" xfId="229" applyNumberFormat="1" applyFont="1" applyFill="1" applyBorder="1"/>
    <xf numFmtId="49" fontId="6" fillId="9" borderId="0" xfId="228" applyNumberFormat="1" applyFont="1"/>
    <xf numFmtId="0" fontId="56" fillId="36" borderId="10" xfId="229" applyFont="1" applyFill="1" applyBorder="1"/>
    <xf numFmtId="164" fontId="6" fillId="39" borderId="10" xfId="80" applyNumberFormat="1" applyFont="1" applyFill="1" applyBorder="1" applyAlignment="1" applyProtection="1">
      <alignment horizontal="right"/>
    </xf>
    <xf numFmtId="0" fontId="0" fillId="9" borderId="0" xfId="229" applyFont="1"/>
    <xf numFmtId="0" fontId="36" fillId="35" borderId="10" xfId="229" applyFont="1" applyFill="1" applyBorder="1"/>
    <xf numFmtId="0" fontId="1" fillId="9" borderId="0" xfId="231" applyAlignment="1">
      <alignment horizontal="center" vertical="center"/>
    </xf>
    <xf numFmtId="0" fontId="64" fillId="9" borderId="0" xfId="228" applyFont="1"/>
    <xf numFmtId="0" fontId="6" fillId="42" borderId="0" xfId="230" applyFont="1" applyFill="1" applyAlignment="1">
      <alignment vertical="center"/>
    </xf>
    <xf numFmtId="0" fontId="1" fillId="9" borderId="0" xfId="228" applyAlignment="1">
      <alignment horizontal="left" indent="1"/>
    </xf>
    <xf numFmtId="0" fontId="6" fillId="9" borderId="0" xfId="228" applyFont="1" applyAlignment="1">
      <alignment horizontal="left" indent="1"/>
    </xf>
    <xf numFmtId="43" fontId="1" fillId="9" borderId="0" xfId="228" applyNumberFormat="1"/>
    <xf numFmtId="49" fontId="8" fillId="36" borderId="14" xfId="231" applyNumberFormat="1" applyFont="1" applyFill="1" applyBorder="1" applyAlignment="1">
      <alignment horizontal="center"/>
    </xf>
    <xf numFmtId="2" fontId="8" fillId="36" borderId="10" xfId="78" applyNumberFormat="1" applyFont="1" applyFill="1" applyBorder="1" applyAlignment="1" applyProtection="1">
      <alignment horizontal="center" wrapText="1"/>
    </xf>
    <xf numFmtId="0" fontId="0" fillId="9" borderId="0" xfId="231" applyFont="1"/>
    <xf numFmtId="166" fontId="6" fillId="13" borderId="10" xfId="233" applyNumberFormat="1" applyFont="1" applyFill="1" applyBorder="1" applyAlignment="1">
      <alignment horizontal="right"/>
    </xf>
    <xf numFmtId="0" fontId="69" fillId="37" borderId="10" xfId="0" applyFont="1" applyFill="1" applyBorder="1" applyAlignment="1" applyProtection="1">
      <alignment horizontal="right"/>
      <protection locked="0"/>
    </xf>
    <xf numFmtId="0" fontId="3" fillId="9" borderId="0" xfId="231" applyFont="1" applyAlignment="1">
      <alignment horizontal="right"/>
    </xf>
    <xf numFmtId="0" fontId="1" fillId="9" borderId="0" xfId="231" applyAlignment="1">
      <alignment horizontal="right"/>
    </xf>
    <xf numFmtId="0" fontId="6" fillId="9" borderId="0" xfId="231" applyFont="1"/>
    <xf numFmtId="0" fontId="31" fillId="38" borderId="15" xfId="231" applyFont="1" applyFill="1" applyBorder="1" applyAlignment="1">
      <alignment horizontal="left"/>
    </xf>
    <xf numFmtId="10" fontId="6" fillId="37" borderId="10" xfId="78" applyNumberFormat="1" applyFont="1" applyFill="1" applyBorder="1" applyAlignment="1" applyProtection="1">
      <alignment horizontal="right"/>
      <protection locked="0"/>
    </xf>
    <xf numFmtId="49" fontId="56" fillId="36" borderId="10" xfId="229" applyNumberFormat="1" applyFont="1" applyFill="1" applyBorder="1" applyAlignment="1">
      <alignment vertical="center" wrapText="1"/>
    </xf>
    <xf numFmtId="49" fontId="31" fillId="36" borderId="31" xfId="229" applyNumberFormat="1" applyFont="1" applyFill="1" applyBorder="1" applyAlignment="1">
      <alignment horizontal="left" vertical="center" wrapText="1"/>
    </xf>
    <xf numFmtId="0" fontId="6" fillId="0" borderId="0" xfId="218" applyAlignment="1">
      <alignment vertical="center" wrapText="1"/>
    </xf>
    <xf numFmtId="168" fontId="6" fillId="37" borderId="10" xfId="231" applyNumberFormat="1" applyFont="1" applyFill="1" applyBorder="1" applyAlignment="1" applyProtection="1">
      <alignment horizontal="left" wrapText="1"/>
      <protection locked="0"/>
    </xf>
    <xf numFmtId="0" fontId="6" fillId="37" borderId="10" xfId="231" applyFont="1" applyFill="1" applyBorder="1" applyAlignment="1" applyProtection="1">
      <alignment horizontal="left" wrapText="1"/>
      <protection locked="0"/>
    </xf>
    <xf numFmtId="49" fontId="3" fillId="37" borderId="10" xfId="228" quotePrefix="1" applyNumberFormat="1" applyFont="1" applyFill="1" applyBorder="1" applyAlignment="1" applyProtection="1">
      <alignment horizontal="center" vertical="center" wrapText="1"/>
      <protection locked="0"/>
    </xf>
    <xf numFmtId="49" fontId="6" fillId="37" borderId="10" xfId="78" applyNumberFormat="1" applyFont="1" applyFill="1" applyBorder="1" applyAlignment="1" applyProtection="1">
      <alignment horizontal="right"/>
      <protection locked="0"/>
    </xf>
    <xf numFmtId="49" fontId="6" fillId="36" borderId="10" xfId="229" applyNumberFormat="1" applyFill="1" applyBorder="1" applyAlignment="1">
      <alignment horizontal="left"/>
    </xf>
    <xf numFmtId="49" fontId="6" fillId="37" borderId="10" xfId="231" applyNumberFormat="1" applyFont="1" applyFill="1" applyBorder="1" applyProtection="1">
      <protection locked="0"/>
    </xf>
    <xf numFmtId="49" fontId="31" fillId="13" borderId="15" xfId="231" applyNumberFormat="1" applyFont="1" applyFill="1" applyBorder="1" applyAlignment="1">
      <alignment horizontal="right"/>
    </xf>
    <xf numFmtId="49" fontId="57" fillId="36" borderId="10" xfId="229" applyNumberFormat="1" applyFont="1" applyFill="1" applyBorder="1" applyAlignment="1">
      <alignment horizontal="left"/>
    </xf>
    <xf numFmtId="49" fontId="6" fillId="37" borderId="10" xfId="78" applyNumberFormat="1" applyFont="1" applyFill="1" applyBorder="1" applyAlignment="1" applyProtection="1">
      <protection locked="0"/>
    </xf>
    <xf numFmtId="49" fontId="31" fillId="36" borderId="10" xfId="229" quotePrefix="1" applyNumberFormat="1" applyFont="1" applyFill="1" applyBorder="1" applyAlignment="1">
      <alignment horizontal="center" vertical="center" wrapText="1"/>
    </xf>
    <xf numFmtId="49" fontId="57" fillId="36" borderId="10" xfId="233" applyNumberFormat="1" applyFont="1" applyFill="1" applyBorder="1" applyAlignment="1">
      <alignment horizontal="left"/>
    </xf>
    <xf numFmtId="49" fontId="6" fillId="37" borderId="10" xfId="233" applyNumberFormat="1" applyFont="1" applyFill="1" applyBorder="1" applyAlignment="1" applyProtection="1">
      <alignment horizontal="right"/>
      <protection locked="0"/>
    </xf>
    <xf numFmtId="49" fontId="6" fillId="13" borderId="10" xfId="233" applyNumberFormat="1" applyFont="1" applyFill="1" applyBorder="1" applyAlignment="1">
      <alignment horizontal="right"/>
    </xf>
    <xf numFmtId="49" fontId="54" fillId="36" borderId="10" xfId="233" applyNumberFormat="1" applyFont="1" applyFill="1" applyBorder="1" applyAlignment="1">
      <alignment horizontal="left"/>
    </xf>
    <xf numFmtId="49" fontId="6" fillId="37" borderId="10" xfId="228" applyNumberFormat="1" applyFont="1" applyFill="1" applyBorder="1" applyAlignment="1" applyProtection="1">
      <alignment horizontal="center"/>
      <protection locked="0"/>
    </xf>
    <xf numFmtId="41" fontId="8" fillId="36" borderId="15" xfId="229" applyNumberFormat="1" applyFont="1" applyFill="1" applyBorder="1" applyAlignment="1" applyProtection="1">
      <alignment horizontal="left" indent="1"/>
      <protection locked="0"/>
    </xf>
    <xf numFmtId="164" fontId="6" fillId="37" borderId="10" xfId="78" applyNumberFormat="1" applyFont="1" applyFill="1" applyBorder="1" applyAlignment="1" applyProtection="1">
      <protection locked="0"/>
    </xf>
    <xf numFmtId="0" fontId="6" fillId="37" borderId="16" xfId="228" applyFont="1" applyFill="1" applyBorder="1" applyAlignment="1" applyProtection="1">
      <alignment horizontal="left"/>
      <protection locked="0"/>
    </xf>
    <xf numFmtId="166" fontId="6" fillId="37" borderId="10" xfId="229" applyNumberFormat="1" applyFill="1" applyBorder="1" applyAlignment="1" applyProtection="1">
      <alignment horizontal="right"/>
      <protection locked="0"/>
    </xf>
    <xf numFmtId="164" fontId="6" fillId="37" borderId="16" xfId="229" applyNumberFormat="1" applyFill="1" applyBorder="1" applyAlignment="1" applyProtection="1">
      <alignment horizontal="right"/>
      <protection locked="0"/>
    </xf>
    <xf numFmtId="164" fontId="6" fillId="37" borderId="10" xfId="80" applyNumberFormat="1" applyFont="1" applyFill="1" applyBorder="1" applyAlignment="1" applyProtection="1">
      <alignment horizontal="right"/>
      <protection locked="0"/>
    </xf>
    <xf numFmtId="14" fontId="6" fillId="37" borderId="10" xfId="231" quotePrefix="1" applyNumberFormat="1" applyFont="1" applyFill="1" applyBorder="1" applyAlignment="1" applyProtection="1">
      <alignment horizontal="center"/>
      <protection locked="0"/>
    </xf>
    <xf numFmtId="43" fontId="1" fillId="9" borderId="0" xfId="78" applyFill="1"/>
    <xf numFmtId="49" fontId="73" fillId="37" borderId="10" xfId="80" applyNumberFormat="1" applyFont="1" applyFill="1" applyBorder="1" applyAlignment="1" applyProtection="1">
      <alignment horizontal="left"/>
      <protection locked="0"/>
    </xf>
    <xf numFmtId="49" fontId="73" fillId="37" borderId="10" xfId="80" applyNumberFormat="1" applyFont="1" applyFill="1" applyBorder="1" applyAlignment="1" applyProtection="1">
      <alignment horizontal="left" wrapText="1"/>
      <protection locked="0"/>
    </xf>
    <xf numFmtId="49" fontId="74" fillId="37" borderId="10" xfId="231" applyNumberFormat="1" applyFont="1" applyFill="1" applyBorder="1" applyProtection="1">
      <protection locked="0"/>
    </xf>
    <xf numFmtId="49" fontId="73" fillId="37" borderId="10" xfId="231" applyNumberFormat="1" applyFont="1" applyFill="1" applyBorder="1" applyProtection="1">
      <protection locked="0"/>
    </xf>
    <xf numFmtId="49" fontId="73" fillId="37" borderId="10" xfId="233" applyNumberFormat="1" applyFont="1" applyFill="1" applyBorder="1" applyAlignment="1" applyProtection="1">
      <alignment horizontal="left"/>
      <protection locked="0"/>
    </xf>
    <xf numFmtId="0" fontId="1" fillId="37" borderId="16" xfId="228" applyFill="1" applyBorder="1" applyAlignment="1" applyProtection="1">
      <alignment horizontal="left"/>
      <protection locked="0"/>
    </xf>
    <xf numFmtId="0" fontId="11" fillId="37" borderId="16" xfId="160" applyFill="1" applyBorder="1" applyAlignment="1" applyProtection="1">
      <alignment horizontal="left"/>
      <protection locked="0"/>
    </xf>
    <xf numFmtId="164" fontId="1" fillId="37" borderId="10" xfId="231" applyNumberFormat="1" applyFill="1" applyBorder="1" applyAlignment="1" applyProtection="1">
      <alignment horizontal="right"/>
      <protection locked="0"/>
    </xf>
    <xf numFmtId="164" fontId="1" fillId="37" borderId="10" xfId="231" applyNumberFormat="1" applyFill="1" applyBorder="1" applyProtection="1">
      <protection locked="0"/>
    </xf>
    <xf numFmtId="49" fontId="73" fillId="37" borderId="10" xfId="78" applyNumberFormat="1" applyFont="1" applyFill="1" applyBorder="1" applyAlignment="1" applyProtection="1">
      <protection locked="0"/>
    </xf>
    <xf numFmtId="49" fontId="76" fillId="36" borderId="10" xfId="229" applyNumberFormat="1" applyFont="1" applyFill="1" applyBorder="1" applyAlignment="1">
      <alignment horizontal="left"/>
    </xf>
    <xf numFmtId="0" fontId="73" fillId="37" borderId="10" xfId="80" applyNumberFormat="1" applyFont="1" applyFill="1" applyBorder="1" applyAlignment="1" applyProtection="1">
      <alignment horizontal="left" wrapText="1"/>
    </xf>
    <xf numFmtId="49" fontId="73" fillId="37" borderId="10" xfId="228" quotePrefix="1" applyNumberFormat="1" applyFont="1" applyFill="1" applyBorder="1" applyAlignment="1" applyProtection="1">
      <alignment horizontal="center" wrapText="1"/>
      <protection locked="0"/>
    </xf>
    <xf numFmtId="49" fontId="3" fillId="37" borderId="10" xfId="228" quotePrefix="1" applyNumberFormat="1" applyFont="1" applyFill="1" applyBorder="1" applyAlignment="1" applyProtection="1">
      <alignment horizontal="center" wrapText="1"/>
      <protection locked="0"/>
    </xf>
    <xf numFmtId="49" fontId="8" fillId="38" borderId="10" xfId="228" applyNumberFormat="1" applyFont="1" applyFill="1" applyBorder="1" applyAlignment="1">
      <alignment horizontal="left" wrapText="1"/>
    </xf>
    <xf numFmtId="49" fontId="8" fillId="38" borderId="10" xfId="228" applyNumberFormat="1" applyFont="1" applyFill="1" applyBorder="1"/>
    <xf numFmtId="49" fontId="8" fillId="36" borderId="10" xfId="228" applyNumberFormat="1" applyFont="1" applyFill="1" applyBorder="1"/>
    <xf numFmtId="49" fontId="31" fillId="38" borderId="10" xfId="228" applyNumberFormat="1" applyFont="1" applyFill="1" applyBorder="1"/>
    <xf numFmtId="168" fontId="6" fillId="35" borderId="10" xfId="231" applyNumberFormat="1" applyFont="1" applyFill="1" applyBorder="1"/>
    <xf numFmtId="168" fontId="6" fillId="37" borderId="10" xfId="231" applyNumberFormat="1" applyFont="1" applyFill="1" applyBorder="1" applyAlignment="1" applyProtection="1">
      <alignment horizontal="center"/>
      <protection locked="0"/>
    </xf>
    <xf numFmtId="168" fontId="6" fillId="37" borderId="10" xfId="231" applyNumberFormat="1" applyFont="1" applyFill="1" applyBorder="1" applyAlignment="1" applyProtection="1">
      <alignment horizontal="center" wrapText="1"/>
      <protection locked="0"/>
    </xf>
    <xf numFmtId="49" fontId="77" fillId="37" borderId="10" xfId="78" applyNumberFormat="1" applyFont="1" applyFill="1" applyBorder="1" applyAlignment="1" applyProtection="1">
      <protection locked="0"/>
    </xf>
    <xf numFmtId="166" fontId="1" fillId="37" borderId="10" xfId="228" applyNumberFormat="1" applyFill="1" applyBorder="1" applyAlignment="1" applyProtection="1">
      <alignment horizontal="left" indent="1"/>
      <protection locked="0"/>
    </xf>
    <xf numFmtId="49" fontId="78" fillId="37" borderId="10" xfId="233" applyNumberFormat="1" applyFont="1" applyFill="1" applyBorder="1" applyAlignment="1" applyProtection="1">
      <alignment vertical="top"/>
      <protection locked="0"/>
    </xf>
    <xf numFmtId="0" fontId="1" fillId="37" borderId="10" xfId="231" applyFill="1" applyBorder="1" applyProtection="1">
      <protection locked="0"/>
    </xf>
    <xf numFmtId="164" fontId="0" fillId="0" borderId="0" xfId="0" applyNumberFormat="1"/>
    <xf numFmtId="164" fontId="1" fillId="0" borderId="0" xfId="0" applyNumberFormat="1" applyFont="1"/>
    <xf numFmtId="164" fontId="1" fillId="39" borderId="10" xfId="78" applyNumberFormat="1" applyFont="1" applyFill="1" applyBorder="1" applyAlignment="1" applyProtection="1">
      <alignment horizontal="right"/>
    </xf>
    <xf numFmtId="164" fontId="1" fillId="37" borderId="10" xfId="78" applyNumberFormat="1" applyFont="1" applyFill="1" applyBorder="1" applyAlignment="1" applyProtection="1">
      <alignment horizontal="right"/>
      <protection locked="0"/>
    </xf>
    <xf numFmtId="49" fontId="77" fillId="37" borderId="10" xfId="233" applyNumberFormat="1" applyFont="1" applyFill="1" applyBorder="1" applyAlignment="1" applyProtection="1">
      <alignment vertical="top"/>
      <protection locked="0"/>
    </xf>
    <xf numFmtId="0" fontId="45" fillId="36" borderId="0" xfId="229" applyFont="1" applyFill="1" applyAlignment="1">
      <alignment horizontal="right" indent="1"/>
    </xf>
    <xf numFmtId="0" fontId="45" fillId="36" borderId="31" xfId="229" applyFont="1" applyFill="1" applyBorder="1" applyAlignment="1">
      <alignment horizontal="right" indent="1"/>
    </xf>
    <xf numFmtId="0" fontId="70" fillId="36" borderId="19" xfId="229" applyFont="1" applyFill="1" applyBorder="1" applyAlignment="1">
      <alignment horizontal="center"/>
    </xf>
    <xf numFmtId="0" fontId="70" fillId="36" borderId="20" xfId="229" applyFont="1" applyFill="1" applyBorder="1" applyAlignment="1">
      <alignment horizontal="center"/>
    </xf>
    <xf numFmtId="0" fontId="70" fillId="36" borderId="21" xfId="229" applyFont="1" applyFill="1" applyBorder="1" applyAlignment="1">
      <alignment horizontal="center"/>
    </xf>
    <xf numFmtId="14" fontId="4" fillId="37" borderId="32" xfId="226" applyNumberFormat="1" applyFont="1" applyFill="1" applyBorder="1" applyAlignment="1" applyProtection="1">
      <alignment horizontal="right" vertical="center"/>
      <protection locked="0"/>
    </xf>
    <xf numFmtId="14" fontId="44" fillId="37" borderId="32" xfId="225" applyNumberFormat="1" applyFont="1" applyFill="1" applyBorder="1" applyAlignment="1" applyProtection="1">
      <alignment horizontal="right" vertical="center"/>
      <protection locked="0"/>
    </xf>
    <xf numFmtId="14" fontId="44" fillId="37" borderId="16" xfId="225" applyNumberFormat="1" applyFont="1" applyFill="1" applyBorder="1" applyAlignment="1" applyProtection="1">
      <alignment horizontal="right" vertical="center"/>
      <protection locked="0"/>
    </xf>
    <xf numFmtId="49" fontId="4" fillId="37" borderId="32" xfId="226" applyNumberFormat="1" applyFont="1" applyFill="1" applyBorder="1" applyAlignment="1" applyProtection="1">
      <alignment horizontal="right" vertical="center"/>
      <protection locked="0"/>
    </xf>
    <xf numFmtId="49" fontId="44" fillId="37" borderId="32" xfId="225" applyNumberFormat="1" applyFont="1" applyFill="1" applyBorder="1" applyAlignment="1" applyProtection="1">
      <alignment horizontal="right" vertical="center"/>
      <protection locked="0"/>
    </xf>
    <xf numFmtId="49" fontId="44" fillId="37" borderId="16" xfId="225" applyNumberFormat="1" applyFont="1" applyFill="1" applyBorder="1" applyAlignment="1" applyProtection="1">
      <alignment horizontal="right" vertical="center"/>
      <protection locked="0"/>
    </xf>
    <xf numFmtId="0" fontId="67" fillId="36" borderId="30" xfId="226" applyFont="1" applyFill="1" applyBorder="1" applyAlignment="1">
      <alignment horizontal="left" vertical="center" wrapText="1"/>
    </xf>
    <xf numFmtId="0" fontId="67" fillId="36" borderId="0" xfId="226" applyFont="1" applyFill="1" applyAlignment="1">
      <alignment horizontal="left" vertical="center" wrapText="1"/>
    </xf>
    <xf numFmtId="0" fontId="67" fillId="36" borderId="15" xfId="226" applyFont="1" applyFill="1" applyBorder="1" applyAlignment="1">
      <alignment horizontal="left" vertical="center"/>
    </xf>
    <xf numFmtId="0" fontId="67" fillId="36" borderId="32" xfId="226" applyFont="1" applyFill="1" applyBorder="1" applyAlignment="1">
      <alignment horizontal="left" vertical="center"/>
    </xf>
    <xf numFmtId="0" fontId="67" fillId="36" borderId="0" xfId="226" applyFont="1" applyFill="1" applyAlignment="1">
      <alignment horizontal="left" vertical="center"/>
    </xf>
    <xf numFmtId="0" fontId="44" fillId="37" borderId="15" xfId="229" applyFont="1" applyFill="1" applyBorder="1" applyAlignment="1" applyProtection="1">
      <alignment horizontal="right" vertical="center"/>
      <protection locked="0"/>
    </xf>
    <xf numFmtId="0" fontId="44" fillId="37" borderId="32" xfId="229" applyFont="1" applyFill="1" applyBorder="1" applyAlignment="1" applyProtection="1">
      <alignment horizontal="right" vertical="center"/>
      <protection locked="0"/>
    </xf>
    <xf numFmtId="0" fontId="44" fillId="37" borderId="16" xfId="229" applyFont="1" applyFill="1" applyBorder="1" applyAlignment="1" applyProtection="1">
      <alignment horizontal="right" vertical="center"/>
      <protection locked="0"/>
    </xf>
    <xf numFmtId="0" fontId="70" fillId="36" borderId="22" xfId="229" applyFont="1" applyFill="1" applyBorder="1" applyAlignment="1">
      <alignment horizontal="center"/>
    </xf>
    <xf numFmtId="0" fontId="70" fillId="36" borderId="23" xfId="229" applyFont="1" applyFill="1" applyBorder="1" applyAlignment="1">
      <alignment horizontal="center"/>
    </xf>
    <xf numFmtId="0" fontId="70" fillId="36" borderId="24" xfId="229" applyFont="1" applyFill="1" applyBorder="1" applyAlignment="1">
      <alignment horizontal="center"/>
    </xf>
    <xf numFmtId="0" fontId="67" fillId="36" borderId="17" xfId="229" applyFont="1" applyFill="1" applyBorder="1" applyAlignment="1">
      <alignment horizontal="left" vertical="top"/>
    </xf>
    <xf numFmtId="0" fontId="67" fillId="36" borderId="22" xfId="229" applyFont="1" applyFill="1" applyBorder="1" applyAlignment="1">
      <alignment horizontal="left" vertical="top"/>
    </xf>
    <xf numFmtId="0" fontId="70" fillId="36" borderId="23" xfId="229" applyFont="1" applyFill="1" applyBorder="1" applyAlignment="1">
      <alignment horizontal="center" vertical="center"/>
    </xf>
    <xf numFmtId="0" fontId="70" fillId="36" borderId="24" xfId="229" applyFont="1" applyFill="1" applyBorder="1" applyAlignment="1">
      <alignment horizontal="center" vertical="center"/>
    </xf>
    <xf numFmtId="0" fontId="45" fillId="36" borderId="18" xfId="229" applyFont="1" applyFill="1" applyBorder="1" applyAlignment="1">
      <alignment horizontal="center"/>
    </xf>
    <xf numFmtId="0" fontId="45" fillId="36" borderId="0" xfId="229" applyFont="1" applyFill="1" applyAlignment="1">
      <alignment horizontal="center"/>
    </xf>
    <xf numFmtId="0" fontId="44" fillId="37" borderId="10" xfId="229" applyFont="1" applyFill="1" applyBorder="1" applyAlignment="1" applyProtection="1">
      <alignment horizontal="right" vertical="center"/>
      <protection locked="0"/>
    </xf>
    <xf numFmtId="0" fontId="44" fillId="36" borderId="30" xfId="229" applyFont="1" applyFill="1" applyBorder="1" applyAlignment="1">
      <alignment horizontal="center"/>
    </xf>
    <xf numFmtId="0" fontId="44" fillId="36" borderId="18" xfId="229" applyFont="1" applyFill="1" applyBorder="1" applyAlignment="1">
      <alignment horizontal="center"/>
    </xf>
    <xf numFmtId="0" fontId="11" fillId="37" borderId="15" xfId="160" applyFill="1" applyBorder="1" applyAlignment="1" applyProtection="1">
      <alignment horizontal="right" vertical="center"/>
      <protection locked="0"/>
    </xf>
    <xf numFmtId="0" fontId="44" fillId="9" borderId="32" xfId="229" applyFont="1" applyBorder="1" applyAlignment="1" applyProtection="1">
      <alignment horizontal="right" vertical="center"/>
      <protection locked="0"/>
    </xf>
    <xf numFmtId="0" fontId="44" fillId="9" borderId="16" xfId="229" applyFont="1" applyBorder="1" applyAlignment="1" applyProtection="1">
      <alignment horizontal="right" vertical="center"/>
      <protection locked="0"/>
    </xf>
    <xf numFmtId="0" fontId="67" fillId="36" borderId="16" xfId="226" applyFont="1" applyFill="1" applyBorder="1" applyAlignment="1">
      <alignment horizontal="left" vertical="center"/>
    </xf>
    <xf numFmtId="0" fontId="4" fillId="9" borderId="19" xfId="226" applyFont="1" applyBorder="1" applyAlignment="1">
      <alignment horizontal="left" vertical="center"/>
    </xf>
    <xf numFmtId="0" fontId="44" fillId="9" borderId="20" xfId="226" applyFont="1" applyBorder="1" applyAlignment="1">
      <alignment horizontal="left" vertical="center"/>
    </xf>
    <xf numFmtId="0" fontId="44" fillId="9" borderId="21" xfId="226" applyFont="1" applyBorder="1" applyAlignment="1">
      <alignment horizontal="left" vertical="center"/>
    </xf>
    <xf numFmtId="164" fontId="4" fillId="13" borderId="22" xfId="52" applyFont="1" applyBorder="1" applyAlignment="1">
      <alignment horizontal="left" vertical="center"/>
    </xf>
    <xf numFmtId="0" fontId="44" fillId="9" borderId="23" xfId="226" applyFont="1" applyBorder="1" applyAlignment="1">
      <alignment horizontal="left" vertical="center"/>
    </xf>
    <xf numFmtId="0" fontId="44" fillId="9" borderId="24" xfId="226" applyFont="1" applyBorder="1" applyAlignment="1">
      <alignment horizontal="left" vertical="center"/>
    </xf>
    <xf numFmtId="164" fontId="4" fillId="37" borderId="17" xfId="163" applyFont="1" applyFill="1" applyBorder="1" applyAlignment="1" applyProtection="1">
      <alignment horizontal="left" vertical="center"/>
    </xf>
    <xf numFmtId="0" fontId="44" fillId="37" borderId="0" xfId="226" applyFont="1" applyFill="1" applyAlignment="1">
      <alignment horizontal="left" vertical="center"/>
    </xf>
    <xf numFmtId="0" fontId="44" fillId="37" borderId="18" xfId="226" applyFont="1" applyFill="1" applyBorder="1" applyAlignment="1">
      <alignment horizontal="left" vertical="center"/>
    </xf>
    <xf numFmtId="0" fontId="44" fillId="0" borderId="0" xfId="226" applyFont="1" applyFill="1" applyAlignment="1">
      <alignment horizontal="left" vertical="center"/>
    </xf>
    <xf numFmtId="0" fontId="44" fillId="9" borderId="0" xfId="226" applyFont="1" applyAlignment="1">
      <alignment horizontal="left" vertical="center"/>
    </xf>
    <xf numFmtId="0" fontId="4" fillId="0" borderId="0" xfId="226" applyFont="1" applyFill="1" applyAlignment="1">
      <alignment horizontal="right" vertical="center"/>
    </xf>
    <xf numFmtId="0" fontId="44" fillId="0" borderId="0" xfId="225" applyFont="1" applyFill="1" applyAlignment="1">
      <alignment horizontal="right" vertical="center"/>
    </xf>
    <xf numFmtId="0" fontId="4" fillId="37" borderId="32" xfId="226" applyFont="1" applyFill="1" applyBorder="1" applyAlignment="1" applyProtection="1">
      <alignment horizontal="right" vertical="center"/>
      <protection locked="0"/>
    </xf>
    <xf numFmtId="0" fontId="44" fillId="37" borderId="32" xfId="225" applyFont="1" applyFill="1" applyBorder="1" applyAlignment="1" applyProtection="1">
      <alignment horizontal="right" vertical="center"/>
      <protection locked="0"/>
    </xf>
    <xf numFmtId="0" fontId="44" fillId="37" borderId="16" xfId="225" applyFont="1" applyFill="1" applyBorder="1" applyAlignment="1" applyProtection="1">
      <alignment horizontal="right" vertical="center"/>
      <protection locked="0"/>
    </xf>
    <xf numFmtId="0" fontId="4" fillId="37" borderId="10" xfId="226" applyFont="1" applyFill="1" applyBorder="1" applyAlignment="1" applyProtection="1">
      <alignment horizontal="right" vertical="center"/>
      <protection locked="0"/>
    </xf>
    <xf numFmtId="0" fontId="44" fillId="37" borderId="10" xfId="226" applyFont="1" applyFill="1" applyBorder="1" applyAlignment="1" applyProtection="1">
      <alignment horizontal="right" vertical="center"/>
      <protection locked="0"/>
    </xf>
    <xf numFmtId="0" fontId="71" fillId="40" borderId="0" xfId="0" applyFont="1" applyFill="1" applyAlignment="1">
      <alignment horizontal="center"/>
    </xf>
    <xf numFmtId="49" fontId="31" fillId="36" borderId="15" xfId="229" applyNumberFormat="1" applyFont="1" applyFill="1" applyBorder="1" applyAlignment="1">
      <alignment horizontal="center" vertical="center"/>
    </xf>
    <xf numFmtId="49" fontId="31" fillId="36" borderId="16"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xf>
    <xf numFmtId="49" fontId="31" fillId="36" borderId="11" xfId="229" applyNumberFormat="1" applyFont="1" applyFill="1" applyBorder="1" applyAlignment="1">
      <alignment horizontal="center" vertical="center"/>
    </xf>
    <xf numFmtId="2" fontId="31" fillId="36" borderId="11" xfId="228" applyNumberFormat="1" applyFont="1" applyFill="1" applyBorder="1" applyAlignment="1">
      <alignment horizontal="center" vertical="center" wrapText="1"/>
    </xf>
    <xf numFmtId="2" fontId="31" fillId="36" borderId="13" xfId="228" applyNumberFormat="1" applyFont="1" applyFill="1" applyBorder="1" applyAlignment="1">
      <alignment horizontal="center" vertical="center" wrapText="1"/>
    </xf>
    <xf numFmtId="2" fontId="31" fillId="36" borderId="15" xfId="228" applyNumberFormat="1" applyFont="1" applyFill="1" applyBorder="1" applyAlignment="1">
      <alignment horizontal="center" vertical="center" wrapText="1"/>
    </xf>
    <xf numFmtId="2" fontId="31" fillId="36" borderId="32" xfId="228" applyNumberFormat="1" applyFont="1" applyFill="1" applyBorder="1" applyAlignment="1">
      <alignment horizontal="center" vertical="center" wrapText="1"/>
    </xf>
    <xf numFmtId="2" fontId="31" fillId="36" borderId="15" xfId="229" applyNumberFormat="1" applyFont="1" applyFill="1" applyBorder="1" applyAlignment="1">
      <alignment horizontal="center" vertical="center" wrapText="1"/>
    </xf>
    <xf numFmtId="2" fontId="31" fillId="36" borderId="32" xfId="229" applyNumberFormat="1" applyFont="1" applyFill="1" applyBorder="1" applyAlignment="1">
      <alignment horizontal="center" vertical="center" wrapText="1"/>
    </xf>
    <xf numFmtId="2" fontId="31" fillId="36" borderId="16" xfId="229" applyNumberFormat="1" applyFont="1" applyFill="1" applyBorder="1" applyAlignment="1">
      <alignment horizontal="center" vertical="center" wrapText="1"/>
    </xf>
    <xf numFmtId="167" fontId="31" fillId="36" borderId="15" xfId="228" quotePrefix="1" applyNumberFormat="1" applyFont="1" applyFill="1" applyBorder="1" applyAlignment="1">
      <alignment horizontal="left" vertical="center" wrapText="1"/>
    </xf>
    <xf numFmtId="167" fontId="31" fillId="36" borderId="16" xfId="228" quotePrefix="1" applyNumberFormat="1" applyFont="1" applyFill="1" applyBorder="1" applyAlignment="1">
      <alignment horizontal="left" vertical="center" wrapText="1"/>
    </xf>
    <xf numFmtId="0" fontId="4" fillId="40" borderId="0" xfId="0" applyFont="1" applyFill="1" applyAlignment="1">
      <alignment horizontal="left" vertical="top" wrapText="1"/>
    </xf>
    <xf numFmtId="49" fontId="8" fillId="36" borderId="15" xfId="228" applyNumberFormat="1" applyFont="1" applyFill="1" applyBorder="1" applyAlignment="1">
      <alignment horizontal="left" wrapText="1"/>
    </xf>
    <xf numFmtId="49" fontId="8" fillId="36" borderId="16" xfId="228" applyNumberFormat="1" applyFont="1" applyFill="1" applyBorder="1" applyAlignment="1">
      <alignment horizontal="left" wrapText="1"/>
    </xf>
    <xf numFmtId="0" fontId="4" fillId="0" borderId="0" xfId="230" applyFont="1" applyFill="1" applyAlignment="1">
      <alignment horizontal="left" vertical="center"/>
    </xf>
    <xf numFmtId="0" fontId="50" fillId="32" borderId="0" xfId="151" applyAlignment="1">
      <alignment horizontal="left" vertical="top" wrapText="1"/>
    </xf>
    <xf numFmtId="2" fontId="31" fillId="36" borderId="10" xfId="229" applyNumberFormat="1" applyFont="1" applyFill="1" applyBorder="1" applyAlignment="1">
      <alignment horizontal="center" vertical="center" wrapText="1"/>
    </xf>
    <xf numFmtId="0" fontId="4" fillId="40" borderId="0" xfId="0" applyFont="1" applyFill="1" applyAlignment="1">
      <alignment horizontal="left" vertical="center" wrapText="1"/>
    </xf>
    <xf numFmtId="0" fontId="31" fillId="38" borderId="32" xfId="231" applyFont="1" applyFill="1" applyBorder="1" applyAlignment="1">
      <alignment horizontal="left"/>
    </xf>
    <xf numFmtId="0" fontId="31" fillId="38" borderId="16" xfId="231" applyFont="1" applyFill="1" applyBorder="1" applyAlignment="1">
      <alignment horizontal="left"/>
    </xf>
    <xf numFmtId="49" fontId="31" fillId="36" borderId="30" xfId="233" applyNumberFormat="1" applyFont="1" applyFill="1" applyBorder="1" applyAlignment="1">
      <alignment horizontal="center" vertical="center" wrapText="1"/>
    </xf>
    <xf numFmtId="49" fontId="31" fillId="36" borderId="0" xfId="233" applyNumberFormat="1" applyFont="1" applyFill="1" applyAlignment="1">
      <alignment horizontal="center" vertical="center" wrapText="1"/>
    </xf>
    <xf numFmtId="49" fontId="31" fillId="36" borderId="15" xfId="233" applyNumberFormat="1" applyFont="1" applyFill="1" applyBorder="1" applyAlignment="1">
      <alignment horizontal="center" vertical="center" wrapText="1"/>
    </xf>
    <xf numFmtId="49" fontId="31" fillId="36" borderId="16" xfId="233" applyNumberFormat="1" applyFont="1" applyFill="1" applyBorder="1" applyAlignment="1">
      <alignment horizontal="center" vertical="center" wrapText="1"/>
    </xf>
    <xf numFmtId="49" fontId="54" fillId="38" borderId="33" xfId="228" applyNumberFormat="1" applyFont="1" applyFill="1" applyBorder="1" applyAlignment="1">
      <alignment horizontal="left"/>
    </xf>
    <xf numFmtId="49" fontId="54" fillId="38" borderId="34" xfId="228" applyNumberFormat="1" applyFont="1" applyFill="1" applyBorder="1" applyAlignment="1">
      <alignment horizontal="left"/>
    </xf>
    <xf numFmtId="168" fontId="54" fillId="38" borderId="15" xfId="231" applyNumberFormat="1" applyFont="1" applyFill="1" applyBorder="1" applyAlignment="1">
      <alignment horizontal="left"/>
    </xf>
    <xf numFmtId="168" fontId="54" fillId="38" borderId="32" xfId="231" applyNumberFormat="1" applyFont="1" applyFill="1" applyBorder="1" applyAlignment="1">
      <alignment horizontal="left"/>
    </xf>
    <xf numFmtId="168" fontId="54" fillId="38" borderId="16" xfId="231" applyNumberFormat="1" applyFont="1" applyFill="1" applyBorder="1" applyAlignment="1">
      <alignment horizontal="left"/>
    </xf>
    <xf numFmtId="49" fontId="72" fillId="36" borderId="35" xfId="229" applyNumberFormat="1" applyFont="1" applyFill="1" applyBorder="1" applyAlignment="1">
      <alignment horizontal="center" vertical="center" wrapText="1"/>
    </xf>
    <xf numFmtId="49" fontId="72" fillId="36" borderId="36" xfId="229" applyNumberFormat="1" applyFont="1" applyFill="1" applyBorder="1" applyAlignment="1">
      <alignment horizontal="center" vertical="center" wrapText="1"/>
    </xf>
    <xf numFmtId="49" fontId="31" fillId="36" borderId="19" xfId="229" applyNumberFormat="1" applyFont="1" applyFill="1" applyBorder="1" applyAlignment="1">
      <alignment horizontal="center" vertical="center" wrapText="1"/>
    </xf>
    <xf numFmtId="49" fontId="31" fillId="36" borderId="20" xfId="229" applyNumberFormat="1" applyFont="1" applyFill="1" applyBorder="1" applyAlignment="1">
      <alignment horizontal="center" vertical="center" wrapText="1"/>
    </xf>
    <xf numFmtId="49" fontId="31" fillId="36" borderId="21" xfId="229" applyNumberFormat="1" applyFont="1" applyFill="1" applyBorder="1" applyAlignment="1">
      <alignment horizontal="center" vertical="center" wrapText="1"/>
    </xf>
    <xf numFmtId="49" fontId="31" fillId="36" borderId="35" xfId="229" applyNumberFormat="1" applyFont="1" applyFill="1" applyBorder="1" applyAlignment="1">
      <alignment horizontal="center" vertical="center" wrapText="1"/>
    </xf>
    <xf numFmtId="49" fontId="31" fillId="36" borderId="41" xfId="229" applyNumberFormat="1" applyFont="1" applyFill="1" applyBorder="1" applyAlignment="1">
      <alignment horizontal="center" vertical="center" wrapText="1"/>
    </xf>
    <xf numFmtId="49" fontId="31" fillId="36" borderId="36" xfId="229" applyNumberFormat="1" applyFont="1" applyFill="1" applyBorder="1" applyAlignment="1">
      <alignment horizontal="center" vertical="center" wrapText="1"/>
    </xf>
    <xf numFmtId="49" fontId="8" fillId="36" borderId="37" xfId="229" applyNumberFormat="1" applyFont="1" applyFill="1" applyBorder="1" applyAlignment="1">
      <alignment horizontal="center" vertical="center" wrapText="1"/>
    </xf>
    <xf numFmtId="49" fontId="8" fillId="36" borderId="38" xfId="229" applyNumberFormat="1" applyFont="1" applyFill="1" applyBorder="1" applyAlignment="1">
      <alignment horizontal="center" vertical="center" wrapText="1"/>
    </xf>
    <xf numFmtId="49" fontId="8" fillId="36" borderId="14" xfId="229" applyNumberFormat="1" applyFont="1" applyFill="1" applyBorder="1" applyAlignment="1">
      <alignment horizontal="center" vertical="center" wrapText="1"/>
    </xf>
    <xf numFmtId="49" fontId="8" fillId="36" borderId="12" xfId="229" applyNumberFormat="1" applyFont="1" applyFill="1" applyBorder="1" applyAlignment="1">
      <alignment horizontal="center" vertical="center" wrapText="1"/>
    </xf>
    <xf numFmtId="49" fontId="8" fillId="36" borderId="39" xfId="229" applyNumberFormat="1" applyFont="1" applyFill="1" applyBorder="1" applyAlignment="1">
      <alignment horizontal="center" vertical="center" wrapText="1"/>
    </xf>
    <xf numFmtId="49" fontId="8" fillId="36" borderId="40" xfId="229" applyNumberFormat="1" applyFont="1" applyFill="1" applyBorder="1" applyAlignment="1">
      <alignment horizontal="center" vertical="center" wrapText="1"/>
    </xf>
    <xf numFmtId="49" fontId="31" fillId="36" borderId="14" xfId="229" applyNumberFormat="1" applyFont="1" applyFill="1" applyBorder="1" applyAlignment="1">
      <alignment horizontal="center" vertical="center" wrapText="1"/>
    </xf>
    <xf numFmtId="49" fontId="31" fillId="36" borderId="12" xfId="229" applyNumberFormat="1" applyFont="1" applyFill="1" applyBorder="1" applyAlignment="1">
      <alignment horizontal="center" vertical="center" wrapText="1"/>
    </xf>
    <xf numFmtId="2" fontId="31" fillId="36" borderId="14" xfId="229" applyNumberFormat="1" applyFont="1" applyFill="1" applyBorder="1" applyAlignment="1">
      <alignment horizontal="center" vertical="center" wrapText="1"/>
    </xf>
    <xf numFmtId="2" fontId="31" fillId="36" borderId="12" xfId="229" applyNumberFormat="1" applyFont="1" applyFill="1" applyBorder="1" applyAlignment="1">
      <alignment horizontal="center" vertical="center" wrapText="1"/>
    </xf>
    <xf numFmtId="49" fontId="56" fillId="36" borderId="14" xfId="229" applyNumberFormat="1" applyFont="1" applyFill="1" applyBorder="1" applyAlignment="1">
      <alignment horizontal="center" vertical="center"/>
    </xf>
    <xf numFmtId="49" fontId="56" fillId="36" borderId="12" xfId="229" applyNumberFormat="1" applyFont="1" applyFill="1" applyBorder="1" applyAlignment="1">
      <alignment horizontal="center" vertical="center"/>
    </xf>
    <xf numFmtId="49" fontId="31" fillId="36" borderId="33" xfId="229" applyNumberFormat="1" applyFont="1" applyFill="1" applyBorder="1" applyAlignment="1">
      <alignment horizontal="center" vertical="center" wrapText="1"/>
    </xf>
    <xf numFmtId="49" fontId="31" fillId="36" borderId="11" xfId="229" applyNumberFormat="1" applyFont="1" applyFill="1" applyBorder="1" applyAlignment="1">
      <alignment horizontal="center" vertical="center" wrapText="1"/>
    </xf>
    <xf numFmtId="173" fontId="33" fillId="13" borderId="10" xfId="80" applyNumberFormat="1" applyFont="1" applyFill="1" applyBorder="1" applyAlignment="1" applyProtection="1">
      <alignment horizontal="center" vertical="center" wrapText="1"/>
    </xf>
  </cellXfs>
  <cellStyles count="255">
    <cellStyle name="=C:\WINNT\SYSTEM32\COMMAND.COM 2" xfId="1" xr:uid="{00000000-0005-0000-0000-000000000000}"/>
    <cellStyle name="20% - Accent1" xfId="2" builtinId="30" customBuiltin="1"/>
    <cellStyle name="20% - Accent1 2" xfId="3" xr:uid="{00000000-0005-0000-0000-000002000000}"/>
    <cellStyle name="20% - Accent2" xfId="4" builtinId="34" customBuiltin="1"/>
    <cellStyle name="20% - Accent2 2" xfId="5" xr:uid="{00000000-0005-0000-0000-000004000000}"/>
    <cellStyle name="20% - Accent3" xfId="6" builtinId="38" customBuiltin="1"/>
    <cellStyle name="20% - Accent3 2" xfId="7" xr:uid="{00000000-0005-0000-0000-000006000000}"/>
    <cellStyle name="20% - Accent4" xfId="8" builtinId="42" customBuiltin="1"/>
    <cellStyle name="20% - Accent4 2" xfId="9" xr:uid="{00000000-0005-0000-0000-000008000000}"/>
    <cellStyle name="20% - Accent5" xfId="10" builtinId="46" customBuiltin="1"/>
    <cellStyle name="20% - Accent5 2" xfId="11" xr:uid="{00000000-0005-0000-0000-00000A000000}"/>
    <cellStyle name="20% - Accent6" xfId="12" builtinId="50" customBuiltin="1"/>
    <cellStyle name="20% - Accent6 2" xfId="13" xr:uid="{00000000-0005-0000-0000-00000C000000}"/>
    <cellStyle name="40% - Accent1" xfId="14" builtinId="31" customBuiltin="1"/>
    <cellStyle name="40% - Accent1 2" xfId="15" xr:uid="{00000000-0005-0000-0000-00000E000000}"/>
    <cellStyle name="40% - Accent2" xfId="16" builtinId="35" customBuiltin="1"/>
    <cellStyle name="40% - Accent2 2" xfId="17" xr:uid="{00000000-0005-0000-0000-000010000000}"/>
    <cellStyle name="40% - Accent3" xfId="18" builtinId="39" customBuiltin="1"/>
    <cellStyle name="40% - Accent3 2" xfId="19" xr:uid="{00000000-0005-0000-0000-000012000000}"/>
    <cellStyle name="40% - Accent4" xfId="20" builtinId="43" customBuiltin="1"/>
    <cellStyle name="40% - Accent4 2" xfId="21" xr:uid="{00000000-0005-0000-0000-000014000000}"/>
    <cellStyle name="40% - Accent5" xfId="22" builtinId="47" customBuiltin="1"/>
    <cellStyle name="40% - Accent5 2" xfId="23" xr:uid="{00000000-0005-0000-0000-000016000000}"/>
    <cellStyle name="40% - Accent6" xfId="24" builtinId="51" customBuiltin="1"/>
    <cellStyle name="40% - Accent6 2" xfId="25" xr:uid="{00000000-0005-0000-0000-000018000000}"/>
    <cellStyle name="60% - Accent1" xfId="26" builtinId="32" customBuiltin="1"/>
    <cellStyle name="60% - Accent1 2" xfId="27" xr:uid="{00000000-0005-0000-0000-00001A000000}"/>
    <cellStyle name="60% - Accent2" xfId="28" builtinId="36" customBuiltin="1"/>
    <cellStyle name="60% - Accent2 2" xfId="29" xr:uid="{00000000-0005-0000-0000-00001C000000}"/>
    <cellStyle name="60% - Accent3" xfId="30" builtinId="40" customBuiltin="1"/>
    <cellStyle name="60% - Accent3 2" xfId="31" xr:uid="{00000000-0005-0000-0000-00001E000000}"/>
    <cellStyle name="60% - Accent4" xfId="32" builtinId="44" customBuiltin="1"/>
    <cellStyle name="60% - Accent4 2" xfId="33" xr:uid="{00000000-0005-0000-0000-000020000000}"/>
    <cellStyle name="60% - Accent5" xfId="34" builtinId="48" customBuiltin="1"/>
    <cellStyle name="60% - Accent5 2" xfId="35" xr:uid="{00000000-0005-0000-0000-000022000000}"/>
    <cellStyle name="60% - Accent6" xfId="36" builtinId="52" customBuiltin="1"/>
    <cellStyle name="60% - Accent6 2" xfId="37" xr:uid="{00000000-0005-0000-0000-000024000000}"/>
    <cellStyle name="Accent1" xfId="38" builtinId="29" customBuiltin="1"/>
    <cellStyle name="Accent1 2" xfId="39" xr:uid="{00000000-0005-0000-0000-000026000000}"/>
    <cellStyle name="Accent2" xfId="40" builtinId="33" customBuiltin="1"/>
    <cellStyle name="Accent2 2" xfId="41" xr:uid="{00000000-0005-0000-0000-000028000000}"/>
    <cellStyle name="Accent3" xfId="42" builtinId="37" customBuiltin="1"/>
    <cellStyle name="Accent3 2" xfId="43" xr:uid="{00000000-0005-0000-0000-00002A000000}"/>
    <cellStyle name="Accent4" xfId="44" builtinId="41" customBuiltin="1"/>
    <cellStyle name="Accent4 2" xfId="45" xr:uid="{00000000-0005-0000-0000-00002C000000}"/>
    <cellStyle name="Accent5" xfId="46" builtinId="45" customBuiltin="1"/>
    <cellStyle name="Accent5 2" xfId="47" xr:uid="{00000000-0005-0000-0000-00002E000000}"/>
    <cellStyle name="Accent6" xfId="48" builtinId="49" customBuiltin="1"/>
    <cellStyle name="Accent6 2" xfId="49" xr:uid="{00000000-0005-0000-0000-000030000000}"/>
    <cellStyle name="Bad" xfId="50" builtinId="27" customBuiltin="1"/>
    <cellStyle name="Bad 2" xfId="51" xr:uid="{00000000-0005-0000-0000-000032000000}"/>
    <cellStyle name="Blockout" xfId="52" xr:uid="{00000000-0005-0000-0000-000033000000}"/>
    <cellStyle name="Blockout 2" xfId="53" xr:uid="{00000000-0005-0000-0000-000034000000}"/>
    <cellStyle name="Blockout 2 2" xfId="54" xr:uid="{00000000-0005-0000-0000-000035000000}"/>
    <cellStyle name="Blockout 2 2 2" xfId="55" xr:uid="{00000000-0005-0000-0000-000036000000}"/>
    <cellStyle name="Blockout 2 2 2 2" xfId="56" xr:uid="{00000000-0005-0000-0000-000037000000}"/>
    <cellStyle name="Blockout 2 2 3" xfId="57" xr:uid="{00000000-0005-0000-0000-000038000000}"/>
    <cellStyle name="Blockout 2 2 3 2" xfId="58" xr:uid="{00000000-0005-0000-0000-000039000000}"/>
    <cellStyle name="Blockout 2 2 4" xfId="59" xr:uid="{00000000-0005-0000-0000-00003A000000}"/>
    <cellStyle name="Blockout 2 2 5" xfId="60" xr:uid="{00000000-0005-0000-0000-00003B000000}"/>
    <cellStyle name="Blockout 2 3" xfId="61" xr:uid="{00000000-0005-0000-0000-00003C000000}"/>
    <cellStyle name="Blockout 2 3 2" xfId="62" xr:uid="{00000000-0005-0000-0000-00003D000000}"/>
    <cellStyle name="Blockout 2 4" xfId="63" xr:uid="{00000000-0005-0000-0000-00003E000000}"/>
    <cellStyle name="Blockout 2 4 2" xfId="64" xr:uid="{00000000-0005-0000-0000-00003F000000}"/>
    <cellStyle name="Blockout 2 5" xfId="65" xr:uid="{00000000-0005-0000-0000-000040000000}"/>
    <cellStyle name="Blockout 2 6" xfId="66" xr:uid="{00000000-0005-0000-0000-000041000000}"/>
    <cellStyle name="Blockout 3" xfId="67" xr:uid="{00000000-0005-0000-0000-000042000000}"/>
    <cellStyle name="Blockout 3 2" xfId="68" xr:uid="{00000000-0005-0000-0000-000043000000}"/>
    <cellStyle name="Blockout 3 2 2" xfId="69" xr:uid="{00000000-0005-0000-0000-000044000000}"/>
    <cellStyle name="Blockout 3 3" xfId="70" xr:uid="{00000000-0005-0000-0000-000045000000}"/>
    <cellStyle name="Blockout 3 3 2" xfId="71" xr:uid="{00000000-0005-0000-0000-000046000000}"/>
    <cellStyle name="Blockout 3 4" xfId="72" xr:uid="{00000000-0005-0000-0000-000047000000}"/>
    <cellStyle name="Blockout 3 5" xfId="73" xr:uid="{00000000-0005-0000-0000-000048000000}"/>
    <cellStyle name="Calculation" xfId="74" builtinId="22" customBuiltin="1"/>
    <cellStyle name="Calculation 2" xfId="75" xr:uid="{00000000-0005-0000-0000-00004A000000}"/>
    <cellStyle name="Check Cell" xfId="76" builtinId="23" customBuiltin="1"/>
    <cellStyle name="Check Cell 2" xfId="77" xr:uid="{00000000-0005-0000-0000-00004C000000}"/>
    <cellStyle name="Comma" xfId="78" builtinId="3"/>
    <cellStyle name="Comma 10" xfId="79" xr:uid="{00000000-0005-0000-0000-00004E000000}"/>
    <cellStyle name="Comma 10 2" xfId="80" xr:uid="{00000000-0005-0000-0000-00004F000000}"/>
    <cellStyle name="Comma 11" xfId="81" xr:uid="{00000000-0005-0000-0000-000050000000}"/>
    <cellStyle name="Comma 12" xfId="82" xr:uid="{00000000-0005-0000-0000-000051000000}"/>
    <cellStyle name="Comma 2" xfId="83" xr:uid="{00000000-0005-0000-0000-000052000000}"/>
    <cellStyle name="Comma 2 2" xfId="84" xr:uid="{00000000-0005-0000-0000-000053000000}"/>
    <cellStyle name="Comma 2 2 2" xfId="85" xr:uid="{00000000-0005-0000-0000-000054000000}"/>
    <cellStyle name="Comma 2 2 2 2" xfId="86" xr:uid="{00000000-0005-0000-0000-000055000000}"/>
    <cellStyle name="Comma 2 2 2 2 2" xfId="87" xr:uid="{00000000-0005-0000-0000-000056000000}"/>
    <cellStyle name="Comma 2 2 2 3" xfId="88" xr:uid="{00000000-0005-0000-0000-000057000000}"/>
    <cellStyle name="Comma 2 2 3" xfId="89" xr:uid="{00000000-0005-0000-0000-000058000000}"/>
    <cellStyle name="Comma 2 2 3 2" xfId="90" xr:uid="{00000000-0005-0000-0000-000059000000}"/>
    <cellStyle name="Comma 2 2 4" xfId="91" xr:uid="{00000000-0005-0000-0000-00005A000000}"/>
    <cellStyle name="Comma 2 2 4 2" xfId="92" xr:uid="{00000000-0005-0000-0000-00005B000000}"/>
    <cellStyle name="Comma 2 2 5" xfId="93" xr:uid="{00000000-0005-0000-0000-00005C000000}"/>
    <cellStyle name="Comma 2 2 6" xfId="94" xr:uid="{00000000-0005-0000-0000-00005D000000}"/>
    <cellStyle name="Comma 2 3" xfId="95" xr:uid="{00000000-0005-0000-0000-00005E000000}"/>
    <cellStyle name="Comma 2 3 2" xfId="96" xr:uid="{00000000-0005-0000-0000-00005F000000}"/>
    <cellStyle name="Comma 2 3 2 2" xfId="97" xr:uid="{00000000-0005-0000-0000-000060000000}"/>
    <cellStyle name="Comma 2 3 3" xfId="98" xr:uid="{00000000-0005-0000-0000-000061000000}"/>
    <cellStyle name="Comma 2 4" xfId="99" xr:uid="{00000000-0005-0000-0000-000062000000}"/>
    <cellStyle name="Comma 2 4 2" xfId="100" xr:uid="{00000000-0005-0000-0000-000063000000}"/>
    <cellStyle name="Comma 2 5" xfId="101" xr:uid="{00000000-0005-0000-0000-000064000000}"/>
    <cellStyle name="Comma 2 5 2" xfId="102" xr:uid="{00000000-0005-0000-0000-000065000000}"/>
    <cellStyle name="Comma 2 6" xfId="103" xr:uid="{00000000-0005-0000-0000-000066000000}"/>
    <cellStyle name="Comma 2 7" xfId="104" xr:uid="{00000000-0005-0000-0000-000067000000}"/>
    <cellStyle name="Comma 3" xfId="105" xr:uid="{00000000-0005-0000-0000-000068000000}"/>
    <cellStyle name="Comma 3 2" xfId="106" xr:uid="{00000000-0005-0000-0000-000069000000}"/>
    <cellStyle name="Comma 3 2 2" xfId="107" xr:uid="{00000000-0005-0000-0000-00006A000000}"/>
    <cellStyle name="Comma 3 2 2 2" xfId="108" xr:uid="{00000000-0005-0000-0000-00006B000000}"/>
    <cellStyle name="Comma 3 2 3" xfId="109" xr:uid="{00000000-0005-0000-0000-00006C000000}"/>
    <cellStyle name="Comma 3 3" xfId="110" xr:uid="{00000000-0005-0000-0000-00006D000000}"/>
    <cellStyle name="Comma 3 3 2" xfId="111" xr:uid="{00000000-0005-0000-0000-00006E000000}"/>
    <cellStyle name="Comma 3 4" xfId="112" xr:uid="{00000000-0005-0000-0000-00006F000000}"/>
    <cellStyle name="Comma 3 4 2" xfId="113" xr:uid="{00000000-0005-0000-0000-000070000000}"/>
    <cellStyle name="Comma 3 5" xfId="114" xr:uid="{00000000-0005-0000-0000-000071000000}"/>
    <cellStyle name="Comma 3 6" xfId="115" xr:uid="{00000000-0005-0000-0000-000072000000}"/>
    <cellStyle name="Comma 4" xfId="116" xr:uid="{00000000-0005-0000-0000-000073000000}"/>
    <cellStyle name="Comma 4 2" xfId="117" xr:uid="{00000000-0005-0000-0000-000074000000}"/>
    <cellStyle name="Comma 4 2 2" xfId="118" xr:uid="{00000000-0005-0000-0000-000075000000}"/>
    <cellStyle name="Comma 4 3" xfId="119" xr:uid="{00000000-0005-0000-0000-000076000000}"/>
    <cellStyle name="Comma 4 3 2" xfId="120" xr:uid="{00000000-0005-0000-0000-000077000000}"/>
    <cellStyle name="Comma 4 4" xfId="121" xr:uid="{00000000-0005-0000-0000-000078000000}"/>
    <cellStyle name="Comma 5" xfId="122" xr:uid="{00000000-0005-0000-0000-000079000000}"/>
    <cellStyle name="Comma 5 2" xfId="123" xr:uid="{00000000-0005-0000-0000-00007A000000}"/>
    <cellStyle name="Comma 5 2 2" xfId="124" xr:uid="{00000000-0005-0000-0000-00007B000000}"/>
    <cellStyle name="Comma 5 3" xfId="125" xr:uid="{00000000-0005-0000-0000-00007C000000}"/>
    <cellStyle name="Comma 6" xfId="126" xr:uid="{00000000-0005-0000-0000-00007D000000}"/>
    <cellStyle name="Comma 6 2" xfId="127" xr:uid="{00000000-0005-0000-0000-00007E000000}"/>
    <cellStyle name="Comma 6 2 2" xfId="128" xr:uid="{00000000-0005-0000-0000-00007F000000}"/>
    <cellStyle name="Comma 6 2 2 2" xfId="129" xr:uid="{00000000-0005-0000-0000-000080000000}"/>
    <cellStyle name="Comma 6 2 3" xfId="130" xr:uid="{00000000-0005-0000-0000-000081000000}"/>
    <cellStyle name="Comma 6 3" xfId="131" xr:uid="{00000000-0005-0000-0000-000082000000}"/>
    <cellStyle name="Comma 6 3 2" xfId="132" xr:uid="{00000000-0005-0000-0000-000083000000}"/>
    <cellStyle name="Comma 6 4" xfId="133" xr:uid="{00000000-0005-0000-0000-000084000000}"/>
    <cellStyle name="Comma 7" xfId="134" xr:uid="{00000000-0005-0000-0000-000085000000}"/>
    <cellStyle name="Comma 7 2" xfId="135" xr:uid="{00000000-0005-0000-0000-000086000000}"/>
    <cellStyle name="Comma 7 2 2" xfId="136" xr:uid="{00000000-0005-0000-0000-000087000000}"/>
    <cellStyle name="Comma 7 3" xfId="137" xr:uid="{00000000-0005-0000-0000-000088000000}"/>
    <cellStyle name="Comma 8" xfId="138" xr:uid="{00000000-0005-0000-0000-000089000000}"/>
    <cellStyle name="Comma 8 2" xfId="139" xr:uid="{00000000-0005-0000-0000-00008A000000}"/>
    <cellStyle name="Comma 8 2 2" xfId="140" xr:uid="{00000000-0005-0000-0000-00008B000000}"/>
    <cellStyle name="Comma 8 3" xfId="141" xr:uid="{00000000-0005-0000-0000-00008C000000}"/>
    <cellStyle name="Comma 9" xfId="142" xr:uid="{00000000-0005-0000-0000-00008D000000}"/>
    <cellStyle name="Comma 9 2" xfId="143" xr:uid="{00000000-0005-0000-0000-00008E000000}"/>
    <cellStyle name="Currency 2" xfId="144" xr:uid="{00000000-0005-0000-0000-00008F000000}"/>
    <cellStyle name="Currency 2 2" xfId="145" xr:uid="{00000000-0005-0000-0000-000090000000}"/>
    <cellStyle name="Currency 2 2 2" xfId="146" xr:uid="{00000000-0005-0000-0000-000091000000}"/>
    <cellStyle name="Currency 2 3" xfId="147" xr:uid="{00000000-0005-0000-0000-000092000000}"/>
    <cellStyle name="Currency 2 3 2" xfId="148" xr:uid="{00000000-0005-0000-0000-000093000000}"/>
    <cellStyle name="Currency 2 4" xfId="149" xr:uid="{00000000-0005-0000-0000-000094000000}"/>
    <cellStyle name="Currency 3" xfId="150" xr:uid="{00000000-0005-0000-0000-000095000000}"/>
    <cellStyle name="dms_H" xfId="151" xr:uid="{00000000-0005-0000-0000-000096000000}"/>
    <cellStyle name="dms_TopHeader" xfId="152" xr:uid="{00000000-0005-0000-0000-000097000000}"/>
    <cellStyle name="Explanatory Text" xfId="153" builtinId="53" customBuiltin="1"/>
    <cellStyle name="Good" xfId="154" builtinId="26" customBuiltin="1"/>
    <cellStyle name="Good 2" xfId="155" xr:uid="{00000000-0005-0000-0000-00009A000000}"/>
    <cellStyle name="Heading 1" xfId="156" builtinId="16" customBuiltin="1"/>
    <cellStyle name="Heading 2" xfId="157" builtinId="17" customBuiltin="1"/>
    <cellStyle name="Heading 3" xfId="158" builtinId="18" customBuiltin="1"/>
    <cellStyle name="Heading 4" xfId="159" builtinId="19" customBuiltin="1"/>
    <cellStyle name="Hyperlink" xfId="160" builtinId="8"/>
    <cellStyle name="Input" xfId="161" builtinId="20" customBuiltin="1"/>
    <cellStyle name="Input 2" xfId="162" xr:uid="{00000000-0005-0000-0000-0000A1000000}"/>
    <cellStyle name="Input1" xfId="163" xr:uid="{00000000-0005-0000-0000-0000A2000000}"/>
    <cellStyle name="Input1 2" xfId="164" xr:uid="{00000000-0005-0000-0000-0000A3000000}"/>
    <cellStyle name="Input1 2 2" xfId="165" xr:uid="{00000000-0005-0000-0000-0000A4000000}"/>
    <cellStyle name="Input1 2 2 2" xfId="166" xr:uid="{00000000-0005-0000-0000-0000A5000000}"/>
    <cellStyle name="Input1 2 2 2 2" xfId="167" xr:uid="{00000000-0005-0000-0000-0000A6000000}"/>
    <cellStyle name="Input1 2 2 3" xfId="168" xr:uid="{00000000-0005-0000-0000-0000A7000000}"/>
    <cellStyle name="Input1 2 2 3 2" xfId="169" xr:uid="{00000000-0005-0000-0000-0000A8000000}"/>
    <cellStyle name="Input1 2 2 4" xfId="170" xr:uid="{00000000-0005-0000-0000-0000A9000000}"/>
    <cellStyle name="Input1 2 2 5" xfId="171" xr:uid="{00000000-0005-0000-0000-0000AA000000}"/>
    <cellStyle name="Input1 2 3" xfId="172" xr:uid="{00000000-0005-0000-0000-0000AB000000}"/>
    <cellStyle name="Input1 2 3 2" xfId="173" xr:uid="{00000000-0005-0000-0000-0000AC000000}"/>
    <cellStyle name="Input1 2 4" xfId="174" xr:uid="{00000000-0005-0000-0000-0000AD000000}"/>
    <cellStyle name="Input1 2 4 2" xfId="175" xr:uid="{00000000-0005-0000-0000-0000AE000000}"/>
    <cellStyle name="Input1 2 5" xfId="176" xr:uid="{00000000-0005-0000-0000-0000AF000000}"/>
    <cellStyle name="Input1 2 6" xfId="177" xr:uid="{00000000-0005-0000-0000-0000B0000000}"/>
    <cellStyle name="Input1 3" xfId="178" xr:uid="{00000000-0005-0000-0000-0000B1000000}"/>
    <cellStyle name="Input1 3 2" xfId="179" xr:uid="{00000000-0005-0000-0000-0000B2000000}"/>
    <cellStyle name="Input1 3 2 2" xfId="180" xr:uid="{00000000-0005-0000-0000-0000B3000000}"/>
    <cellStyle name="Input1 3 3" xfId="181" xr:uid="{00000000-0005-0000-0000-0000B4000000}"/>
    <cellStyle name="Input1 3 3 2" xfId="182" xr:uid="{00000000-0005-0000-0000-0000B5000000}"/>
    <cellStyle name="Input1 3 4" xfId="183" xr:uid="{00000000-0005-0000-0000-0000B6000000}"/>
    <cellStyle name="Input1 3 5" xfId="184" xr:uid="{00000000-0005-0000-0000-0000B7000000}"/>
    <cellStyle name="Input1 4" xfId="185" xr:uid="{00000000-0005-0000-0000-0000B8000000}"/>
    <cellStyle name="Input1 4 2" xfId="186" xr:uid="{00000000-0005-0000-0000-0000B9000000}"/>
    <cellStyle name="Input2" xfId="187" xr:uid="{00000000-0005-0000-0000-0000BA000000}"/>
    <cellStyle name="Input2 2" xfId="188" xr:uid="{00000000-0005-0000-0000-0000BB000000}"/>
    <cellStyle name="Input2 2 2" xfId="189" xr:uid="{00000000-0005-0000-0000-0000BC000000}"/>
    <cellStyle name="Input3" xfId="190" xr:uid="{00000000-0005-0000-0000-0000BD000000}"/>
    <cellStyle name="Input3 2" xfId="191" xr:uid="{00000000-0005-0000-0000-0000BE000000}"/>
    <cellStyle name="Input3 2 2" xfId="192" xr:uid="{00000000-0005-0000-0000-0000BF000000}"/>
    <cellStyle name="Input3 2 2 2" xfId="193" xr:uid="{00000000-0005-0000-0000-0000C0000000}"/>
    <cellStyle name="Input3 2 2 2 2" xfId="194" xr:uid="{00000000-0005-0000-0000-0000C1000000}"/>
    <cellStyle name="Input3 2 2 3" xfId="195" xr:uid="{00000000-0005-0000-0000-0000C2000000}"/>
    <cellStyle name="Input3 2 2 3 2" xfId="196" xr:uid="{00000000-0005-0000-0000-0000C3000000}"/>
    <cellStyle name="Input3 2 2 4" xfId="197" xr:uid="{00000000-0005-0000-0000-0000C4000000}"/>
    <cellStyle name="Input3 2 2 5" xfId="198" xr:uid="{00000000-0005-0000-0000-0000C5000000}"/>
    <cellStyle name="Input3 2 3" xfId="199" xr:uid="{00000000-0005-0000-0000-0000C6000000}"/>
    <cellStyle name="Input3 2 3 2" xfId="200" xr:uid="{00000000-0005-0000-0000-0000C7000000}"/>
    <cellStyle name="Input3 2 4" xfId="201" xr:uid="{00000000-0005-0000-0000-0000C8000000}"/>
    <cellStyle name="Input3 2 4 2" xfId="202" xr:uid="{00000000-0005-0000-0000-0000C9000000}"/>
    <cellStyle name="Input3 2 5" xfId="203" xr:uid="{00000000-0005-0000-0000-0000CA000000}"/>
    <cellStyle name="Input3 2 6" xfId="204" xr:uid="{00000000-0005-0000-0000-0000CB000000}"/>
    <cellStyle name="Input3 3" xfId="205" xr:uid="{00000000-0005-0000-0000-0000CC000000}"/>
    <cellStyle name="Input3 3 2" xfId="206" xr:uid="{00000000-0005-0000-0000-0000CD000000}"/>
    <cellStyle name="Input3 3 2 2" xfId="207" xr:uid="{00000000-0005-0000-0000-0000CE000000}"/>
    <cellStyle name="Input3 3 3" xfId="208" xr:uid="{00000000-0005-0000-0000-0000CF000000}"/>
    <cellStyle name="Input3 3 3 2" xfId="209" xr:uid="{00000000-0005-0000-0000-0000D0000000}"/>
    <cellStyle name="Input3 3 4" xfId="210" xr:uid="{00000000-0005-0000-0000-0000D1000000}"/>
    <cellStyle name="Input3 3 5" xfId="211" xr:uid="{00000000-0005-0000-0000-0000D2000000}"/>
    <cellStyle name="Linked Cell" xfId="212" builtinId="24" customBuiltin="1"/>
    <cellStyle name="Neutral" xfId="213" builtinId="28" customBuiltin="1"/>
    <cellStyle name="Neutral 2" xfId="214" xr:uid="{00000000-0005-0000-0000-0000D5000000}"/>
    <cellStyle name="Normal" xfId="0" builtinId="0"/>
    <cellStyle name="Normal 2" xfId="215" xr:uid="{00000000-0005-0000-0000-0000D7000000}"/>
    <cellStyle name="Normal 2 2" xfId="216" xr:uid="{00000000-0005-0000-0000-0000D8000000}"/>
    <cellStyle name="Normal 2 4 3" xfId="217" xr:uid="{00000000-0005-0000-0000-0000D9000000}"/>
    <cellStyle name="Normal 3" xfId="218" xr:uid="{00000000-0005-0000-0000-0000DA000000}"/>
    <cellStyle name="Normal 3 2" xfId="219" xr:uid="{00000000-0005-0000-0000-0000DB000000}"/>
    <cellStyle name="Normal 3 2 2" xfId="220" xr:uid="{00000000-0005-0000-0000-0000DC000000}"/>
    <cellStyle name="Normal 4" xfId="221" xr:uid="{00000000-0005-0000-0000-0000DD000000}"/>
    <cellStyle name="Normal 5" xfId="222" xr:uid="{00000000-0005-0000-0000-0000DE000000}"/>
    <cellStyle name="Normal 6" xfId="223" xr:uid="{00000000-0005-0000-0000-0000DF000000}"/>
    <cellStyle name="Normal_2010 06 02 - Urgent RIN for Vic DNSPs revised proposals" xfId="224" xr:uid="{00000000-0005-0000-0000-0000E0000000}"/>
    <cellStyle name="Normal_2010 06 22 - AA - Scheme Templates for data collection" xfId="225" xr:uid="{00000000-0005-0000-0000-0000E1000000}"/>
    <cellStyle name="Normal_2010 06 22 - IE - Scheme Template for data collection" xfId="226" xr:uid="{00000000-0005-0000-0000-0000E2000000}"/>
    <cellStyle name="Normal_Book1" xfId="227" xr:uid="{00000000-0005-0000-0000-0000E3000000}"/>
    <cellStyle name="Normal_D11 2371025  Financial information - 2012 Draft RIN - Ausgrid" xfId="228" xr:uid="{00000000-0005-0000-0000-0000E4000000}"/>
    <cellStyle name="Normal_D11 2371025  Financial information - 2012 Draft RIN - Ausgrid 2" xfId="229" xr:uid="{00000000-0005-0000-0000-0000E5000000}"/>
    <cellStyle name="Normal_D12 1569  Opex, DMIS, EBSS - 2012 draft RIN - Ausgrid" xfId="230" xr:uid="{00000000-0005-0000-0000-0000E6000000}"/>
    <cellStyle name="Normal_D12 16703  Overheads, Avoided Cost, ACS, Demand and Revenue - 2012 draft RIN - Ausgrid" xfId="231" xr:uid="{00000000-0005-0000-0000-0000E7000000}"/>
    <cellStyle name="Normal_D12 16703  Overheads, Avoided Cost, ACS, Demand and Revenue - 2012 draft RIN - Ausgrid 2" xfId="232" xr:uid="{00000000-0005-0000-0000-0000E8000000}"/>
    <cellStyle name="Normal_Sheet1" xfId="233" xr:uid="{00000000-0005-0000-0000-0000E9000000}"/>
    <cellStyle name="Normal_Sheet1 2" xfId="234" xr:uid="{00000000-0005-0000-0000-0000EA000000}"/>
    <cellStyle name="Note" xfId="235" builtinId="10" customBuiltin="1"/>
    <cellStyle name="Note 2" xfId="236" xr:uid="{00000000-0005-0000-0000-0000EC000000}"/>
    <cellStyle name="Note 2 2" xfId="237" xr:uid="{00000000-0005-0000-0000-0000ED000000}"/>
    <cellStyle name="Output" xfId="238" builtinId="21" customBuiltin="1"/>
    <cellStyle name="Output 2" xfId="239" xr:uid="{00000000-0005-0000-0000-0000EF000000}"/>
    <cellStyle name="Percent" xfId="240" builtinId="5"/>
    <cellStyle name="Percent 2" xfId="241" xr:uid="{00000000-0005-0000-0000-0000F1000000}"/>
    <cellStyle name="Percent 2 2" xfId="242" xr:uid="{00000000-0005-0000-0000-0000F2000000}"/>
    <cellStyle name="Percent 3" xfId="243" xr:uid="{00000000-0005-0000-0000-0000F3000000}"/>
    <cellStyle name="Style 1" xfId="244" xr:uid="{00000000-0005-0000-0000-0000F4000000}"/>
    <cellStyle name="Style 1 2" xfId="245" xr:uid="{00000000-0005-0000-0000-0000F5000000}"/>
    <cellStyle name="Style 1 2 2" xfId="246" xr:uid="{00000000-0005-0000-0000-0000F6000000}"/>
    <cellStyle name="Style 1 2 2 2" xfId="247" xr:uid="{00000000-0005-0000-0000-0000F7000000}"/>
    <cellStyle name="Style 1 3" xfId="248" xr:uid="{00000000-0005-0000-0000-0000F8000000}"/>
    <cellStyle name="Style 1 3 2" xfId="249" xr:uid="{00000000-0005-0000-0000-0000F9000000}"/>
    <cellStyle name="Style 1 4" xfId="250" xr:uid="{00000000-0005-0000-0000-0000FA000000}"/>
    <cellStyle name="Style 1 4 2" xfId="251" xr:uid="{00000000-0005-0000-0000-0000FB000000}"/>
    <cellStyle name="Title" xfId="252" builtinId="15" customBuiltin="1"/>
    <cellStyle name="Total" xfId="253" builtinId="25" customBuiltin="1"/>
    <cellStyle name="Warning Text" xfId="254" builtinId="11" customBuiltin="1"/>
  </cellStyles>
  <dxfs count="93">
    <dxf>
      <font>
        <color auto="1"/>
      </font>
      <fill>
        <patternFill>
          <fgColor indexed="64"/>
          <bgColor rgb="FFFF0000"/>
        </patternFill>
      </fill>
    </dxf>
    <dxf>
      <font>
        <color rgb="FF9C0006"/>
      </font>
      <fill>
        <patternFill>
          <bgColor rgb="FFFFC7CE"/>
        </patternFill>
      </fill>
    </dxf>
    <dxf>
      <font>
        <color rgb="FF2B7AA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theme="0" tint="-0.24994659260841701"/>
      </font>
      <numFmt numFmtId="174" formatCode="&quot; -&quot;"/>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indexed="64"/>
          <bgColor theme="3" tint="0.59999389629810485"/>
        </patternFill>
      </fill>
    </dxf>
  </dxfs>
  <tableStyles count="0" defaultTableStyle="TableStyleMedium2" defaultPivotStyle="PivotStyleLight16"/>
  <colors>
    <mruColors>
      <color rgb="FF1741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Revenue allocation to pipeline services</a:t>
            </a:r>
          </a:p>
        </c:rich>
      </c:tx>
      <c:overlay val="0"/>
      <c:spPr>
        <a:noFill/>
        <a:ln w="25400">
          <a:noFill/>
        </a:ln>
      </c:spPr>
    </c:title>
    <c:autoTitleDeleted val="0"/>
    <c:plotArea>
      <c:layout>
        <c:manualLayout>
          <c:layoutTarget val="inner"/>
          <c:xMode val="edge"/>
          <c:yMode val="edge"/>
          <c:x val="0.24177040996089655"/>
          <c:y val="6.7078467027851196E-2"/>
          <c:w val="0.53318213061065745"/>
          <c:h val="0.798691775577215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13CA-45F1-830A-33708A9DA4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13CA-45F1-830A-33708A9DA4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13CA-45F1-830A-33708A9DA49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13CA-45F1-830A-33708A9DA49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13CA-45F1-830A-33708A9DA49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13CA-45F1-830A-33708A9DA49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13CA-45F1-830A-33708A9DA49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13CA-45F1-830A-33708A9DA49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13CA-45F1-830A-33708A9DA49A}"/>
              </c:ext>
            </c:extLst>
          </c:dPt>
          <c:dPt>
            <c:idx val="9"/>
            <c:bubble3D val="0"/>
            <c:extLst>
              <c:ext xmlns:c16="http://schemas.microsoft.com/office/drawing/2014/chart" uri="{C3380CC4-5D6E-409C-BE32-E72D297353CC}">
                <c16:uniqueId val="{00000009-13CA-45F1-830A-33708A9DA49A}"/>
              </c:ext>
            </c:extLst>
          </c:dPt>
          <c:dLbls>
            <c:dLbl>
              <c:idx val="1"/>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13CA-45F1-830A-33708A9DA49A}"/>
                </c:ext>
              </c:extLst>
            </c:dLbl>
            <c:dLbl>
              <c:idx val="4"/>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13CA-45F1-830A-33708A9DA49A}"/>
                </c:ext>
              </c:extLst>
            </c:dLbl>
            <c:dLbl>
              <c:idx val="5"/>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13CA-45F1-830A-33708A9DA49A}"/>
                </c:ext>
              </c:extLst>
            </c:dLbl>
            <c:dLbl>
              <c:idx val="6"/>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13CA-45F1-830A-33708A9DA49A}"/>
                </c:ext>
              </c:extLst>
            </c:dLbl>
            <c:dLbl>
              <c:idx val="7"/>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13CA-45F1-830A-33708A9DA49A}"/>
                </c:ext>
              </c:extLst>
            </c:dLbl>
            <c:dLbl>
              <c:idx val="8"/>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13CA-45F1-830A-33708A9DA49A}"/>
                </c:ext>
              </c:extLst>
            </c:dLbl>
            <c:dLbl>
              <c:idx val="9"/>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13CA-45F1-830A-33708A9DA49A}"/>
                </c:ext>
              </c:extLst>
            </c:dLbl>
            <c:numFmt formatCode="0%;\-0%;\ &quot;&quot;"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expenses'!$D$12:$D$21</c:f>
              <c:numCache>
                <c:formatCode>_(* #,##0_);_(* \(#,##0\);_(* "-"_);_(@_)</c:formatCode>
                <c:ptCount val="10"/>
                <c:pt idx="0">
                  <c:v>26010245.57132018</c:v>
                </c:pt>
                <c:pt idx="1">
                  <c:v>102151.18535619118</c:v>
                </c:pt>
                <c:pt idx="2">
                  <c:v>2796388.6991257337</c:v>
                </c:pt>
                <c:pt idx="3">
                  <c:v>0</c:v>
                </c:pt>
                <c:pt idx="4">
                  <c:v>0</c:v>
                </c:pt>
                <c:pt idx="5">
                  <c:v>29674919.345973536</c:v>
                </c:pt>
                <c:pt idx="6">
                  <c:v>0</c:v>
                </c:pt>
                <c:pt idx="7">
                  <c:v>0</c:v>
                </c:pt>
                <c:pt idx="8">
                  <c:v>0</c:v>
                </c:pt>
                <c:pt idx="9">
                  <c:v>7744187.9212247729</c:v>
                </c:pt>
              </c:numCache>
            </c:numRef>
          </c:val>
          <c:extLst>
            <c:ext xmlns:c16="http://schemas.microsoft.com/office/drawing/2014/chart" uri="{C3380CC4-5D6E-409C-BE32-E72D297353CC}">
              <c16:uniqueId val="{0000000A-13CA-45F1-830A-33708A9DA49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838288274802151"/>
          <c:y val="0.87628892587951446"/>
          <c:w val="0.76702805305230382"/>
          <c:h val="0.10957437921209967"/>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Expense allocation to pipeline services</a:t>
            </a:r>
          </a:p>
        </c:rich>
      </c:tx>
      <c:overlay val="0"/>
      <c:spPr>
        <a:noFill/>
        <a:ln w="25400">
          <a:noFill/>
        </a:ln>
      </c:spPr>
    </c:title>
    <c:autoTitleDeleted val="0"/>
    <c:plotArea>
      <c:layout>
        <c:manualLayout>
          <c:layoutTarget val="inner"/>
          <c:xMode val="edge"/>
          <c:yMode val="edge"/>
          <c:x val="0.26497122127771"/>
          <c:y val="5.9444058054497949E-2"/>
          <c:w val="0.51226897399608629"/>
          <c:h val="0.798604496664634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9C2F-434E-8D05-4B7284236F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9C2F-434E-8D05-4B7284236F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C2F-434E-8D05-4B7284236F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C2F-434E-8D05-4B7284236F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9C2F-434E-8D05-4B7284236F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9C2F-434E-8D05-4B7284236F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9C2F-434E-8D05-4B7284236F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9C2F-434E-8D05-4B7284236F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9C2F-434E-8D05-4B7284236F37}"/>
              </c:ext>
            </c:extLst>
          </c:dPt>
          <c:dPt>
            <c:idx val="9"/>
            <c:bubble3D val="0"/>
            <c:extLst>
              <c:ext xmlns:c16="http://schemas.microsoft.com/office/drawing/2014/chart" uri="{C3380CC4-5D6E-409C-BE32-E72D297353CC}">
                <c16:uniqueId val="{00000009-9C2F-434E-8D05-4B7284236F37}"/>
              </c:ext>
            </c:extLst>
          </c:dPt>
          <c:dLbls>
            <c:dLbl>
              <c:idx val="1"/>
              <c:layout>
                <c:manualLayout>
                  <c:x val="6.9658976245652565E-2"/>
                  <c:y val="-8.830867807170239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2F-434E-8D05-4B7284236F37}"/>
                </c:ext>
              </c:extLst>
            </c:dLbl>
            <c:dLbl>
              <c:idx val="4"/>
              <c:layout>
                <c:manualLayout>
                  <c:x val="9.4621200802816018E-3"/>
                  <c:y val="4.337240900289241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2F-434E-8D05-4B7284236F37}"/>
                </c:ext>
              </c:extLst>
            </c:dLbl>
            <c:dLbl>
              <c:idx val="5"/>
              <c:layout>
                <c:manualLayout>
                  <c:x val="-3.4084159850856404E-4"/>
                  <c:y val="-1.0284269355420705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2F-434E-8D05-4B7284236F37}"/>
                </c:ext>
              </c:extLst>
            </c:dLbl>
            <c:dLbl>
              <c:idx val="6"/>
              <c:layout>
                <c:manualLayout>
                  <c:x val="-7.5549572047626046E-3"/>
                  <c:y val="-1.9087522533174253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2F-434E-8D05-4B7284236F37}"/>
                </c:ext>
              </c:extLst>
            </c:dLbl>
            <c:dLbl>
              <c:idx val="7"/>
              <c:layout>
                <c:manualLayout>
                  <c:x val="-7.0214069892144473E-3"/>
                  <c:y val="-3.5060841568912086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2F-434E-8D05-4B7284236F37}"/>
                </c:ext>
              </c:extLst>
            </c:dLbl>
            <c:dLbl>
              <c:idx val="8"/>
              <c:layout>
                <c:manualLayout>
                  <c:x val="2.3741561499401775E-4"/>
                  <c:y val="1.0101140760341207E-4"/>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2F-434E-8D05-4B7284236F37}"/>
                </c:ext>
              </c:extLst>
            </c:dLbl>
            <c:dLbl>
              <c:idx val="9"/>
              <c:layout>
                <c:manualLayout>
                  <c:x val="2.424949605010419E-4"/>
                  <c:y val="2.0644260931505398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2F-434E-8D05-4B7284236F37}"/>
                </c:ext>
              </c:extLst>
            </c:dLbl>
            <c:numFmt formatCode="0%;\-0%;\ &quot;&quot;\ "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expenses'!$F$12:$F$21</c:f>
              <c:numCache>
                <c:formatCode>_(* #,##0_);_(* \(#,##0\);_(* "-"_);_(@_)</c:formatCode>
                <c:ptCount val="10"/>
                <c:pt idx="0">
                  <c:v>-12342790.012990206</c:v>
                </c:pt>
                <c:pt idx="1">
                  <c:v>-47902.16046438631</c:v>
                </c:pt>
                <c:pt idx="2">
                  <c:v>-1328486.5835456471</c:v>
                </c:pt>
                <c:pt idx="3">
                  <c:v>0</c:v>
                </c:pt>
                <c:pt idx="4">
                  <c:v>0</c:v>
                </c:pt>
                <c:pt idx="5">
                  <c:v>-14086428.653893869</c:v>
                </c:pt>
                <c:pt idx="6">
                  <c:v>0</c:v>
                </c:pt>
                <c:pt idx="7">
                  <c:v>0</c:v>
                </c:pt>
                <c:pt idx="8">
                  <c:v>0</c:v>
                </c:pt>
                <c:pt idx="9">
                  <c:v>-4129166.2320301002</c:v>
                </c:pt>
              </c:numCache>
            </c:numRef>
          </c:val>
          <c:extLst>
            <c:ext xmlns:c16="http://schemas.microsoft.com/office/drawing/2014/chart" uri="{C3380CC4-5D6E-409C-BE32-E72D297353CC}">
              <c16:uniqueId val="{0000000A-9C2F-434E-8D05-4B7284236F3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7059347338667688"/>
          <c:y val="0.8719037765939186"/>
          <c:w val="0.74092540051926703"/>
          <c:h val="0.11276139828538079"/>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Historical demand</a:t>
            </a:r>
          </a:p>
        </c:rich>
      </c:tx>
      <c:overlay val="0"/>
      <c:spPr>
        <a:noFill/>
        <a:ln w="25400">
          <a:noFill/>
        </a:ln>
      </c:spPr>
    </c:title>
    <c:autoTitleDeleted val="0"/>
    <c:plotArea>
      <c:layout/>
      <c:barChart>
        <c:barDir val="col"/>
        <c:grouping val="stacked"/>
        <c:varyColors val="0"/>
        <c:ser>
          <c:idx val="0"/>
          <c:order val="0"/>
          <c:tx>
            <c:strRef>
              <c:f>'5. Historical demand'!$C$40:$C$41</c:f>
              <c:strCache>
                <c:ptCount val="2"/>
                <c:pt idx="0">
                  <c:v>Contracted firm capacity-transportation</c:v>
                </c:pt>
                <c:pt idx="1">
                  <c:v>TJ/day</c:v>
                </c:pt>
              </c:strCache>
            </c:strRef>
          </c:tx>
          <c:spPr>
            <a:solidFill>
              <a:schemeClr val="accent6">
                <a:lumMod val="60000"/>
                <a:lumOff val="40000"/>
              </a:schemeClr>
            </a:solidFill>
            <a:ln w="28575" cap="rnd">
              <a:solidFill>
                <a:schemeClr val="accent6">
                  <a:lumMod val="60000"/>
                  <a:lumOff val="40000"/>
                </a:schemeClr>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demand'!$C$43:$C$408</c:f>
              <c:numCache>
                <c:formatCode>_(* #,##0_);_(* \(#,##0\);_(* "-"_);_(@_)</c:formatCode>
                <c:ptCount val="366"/>
                <c:pt idx="0">
                  <c:v>79.517240000000001</c:v>
                </c:pt>
                <c:pt idx="1">
                  <c:v>79.517240000000001</c:v>
                </c:pt>
                <c:pt idx="2">
                  <c:v>79.517240000000001</c:v>
                </c:pt>
                <c:pt idx="3">
                  <c:v>79.517240000000001</c:v>
                </c:pt>
                <c:pt idx="4">
                  <c:v>79.517240000000001</c:v>
                </c:pt>
                <c:pt idx="5">
                  <c:v>79.517240000000001</c:v>
                </c:pt>
                <c:pt idx="6">
                  <c:v>79.517240000000001</c:v>
                </c:pt>
                <c:pt idx="7">
                  <c:v>79.517240000000001</c:v>
                </c:pt>
                <c:pt idx="8">
                  <c:v>79.517240000000001</c:v>
                </c:pt>
                <c:pt idx="9">
                  <c:v>79.517240000000001</c:v>
                </c:pt>
                <c:pt idx="10">
                  <c:v>79.517240000000001</c:v>
                </c:pt>
                <c:pt idx="11">
                  <c:v>79.517240000000001</c:v>
                </c:pt>
                <c:pt idx="12">
                  <c:v>79.517240000000001</c:v>
                </c:pt>
                <c:pt idx="13">
                  <c:v>79.517240000000001</c:v>
                </c:pt>
                <c:pt idx="14">
                  <c:v>79.517240000000001</c:v>
                </c:pt>
                <c:pt idx="15">
                  <c:v>79.517240000000001</c:v>
                </c:pt>
                <c:pt idx="16">
                  <c:v>79.517240000000001</c:v>
                </c:pt>
                <c:pt idx="17">
                  <c:v>79.517240000000001</c:v>
                </c:pt>
                <c:pt idx="18">
                  <c:v>79.517240000000001</c:v>
                </c:pt>
                <c:pt idx="19">
                  <c:v>79.517240000000001</c:v>
                </c:pt>
                <c:pt idx="20">
                  <c:v>79.517240000000001</c:v>
                </c:pt>
                <c:pt idx="21">
                  <c:v>79.517240000000001</c:v>
                </c:pt>
                <c:pt idx="22">
                  <c:v>79.517240000000001</c:v>
                </c:pt>
                <c:pt idx="23">
                  <c:v>79.517240000000001</c:v>
                </c:pt>
                <c:pt idx="24">
                  <c:v>79.517240000000001</c:v>
                </c:pt>
                <c:pt idx="25">
                  <c:v>79.517240000000001</c:v>
                </c:pt>
                <c:pt idx="26">
                  <c:v>79.517240000000001</c:v>
                </c:pt>
                <c:pt idx="27">
                  <c:v>79.517240000000001</c:v>
                </c:pt>
                <c:pt idx="28">
                  <c:v>79.517240000000001</c:v>
                </c:pt>
                <c:pt idx="29">
                  <c:v>79.517240000000001</c:v>
                </c:pt>
                <c:pt idx="30">
                  <c:v>79.517240000000001</c:v>
                </c:pt>
                <c:pt idx="31">
                  <c:v>79.517240000000001</c:v>
                </c:pt>
                <c:pt idx="32">
                  <c:v>79.517240000000001</c:v>
                </c:pt>
                <c:pt idx="33">
                  <c:v>79.517240000000001</c:v>
                </c:pt>
                <c:pt idx="34">
                  <c:v>79.517240000000001</c:v>
                </c:pt>
                <c:pt idx="35">
                  <c:v>79.517240000000001</c:v>
                </c:pt>
                <c:pt idx="36">
                  <c:v>79.517240000000001</c:v>
                </c:pt>
                <c:pt idx="37">
                  <c:v>79.517240000000001</c:v>
                </c:pt>
                <c:pt idx="38">
                  <c:v>79.517240000000001</c:v>
                </c:pt>
                <c:pt idx="39">
                  <c:v>79.517240000000001</c:v>
                </c:pt>
                <c:pt idx="40">
                  <c:v>79.517240000000001</c:v>
                </c:pt>
                <c:pt idx="41">
                  <c:v>79.517240000000001</c:v>
                </c:pt>
                <c:pt idx="42">
                  <c:v>79.517240000000001</c:v>
                </c:pt>
                <c:pt idx="43">
                  <c:v>79.517240000000001</c:v>
                </c:pt>
                <c:pt idx="44">
                  <c:v>79.517240000000001</c:v>
                </c:pt>
                <c:pt idx="45">
                  <c:v>79.517240000000001</c:v>
                </c:pt>
                <c:pt idx="46">
                  <c:v>79.517240000000001</c:v>
                </c:pt>
                <c:pt idx="47">
                  <c:v>79.517240000000001</c:v>
                </c:pt>
                <c:pt idx="48">
                  <c:v>79.517240000000001</c:v>
                </c:pt>
                <c:pt idx="49">
                  <c:v>79.517240000000001</c:v>
                </c:pt>
                <c:pt idx="50">
                  <c:v>79.517240000000001</c:v>
                </c:pt>
                <c:pt idx="51">
                  <c:v>79.517240000000001</c:v>
                </c:pt>
                <c:pt idx="52">
                  <c:v>79.517240000000001</c:v>
                </c:pt>
                <c:pt idx="53">
                  <c:v>79.517240000000001</c:v>
                </c:pt>
                <c:pt idx="54">
                  <c:v>79.517240000000001</c:v>
                </c:pt>
                <c:pt idx="55">
                  <c:v>79.517240000000001</c:v>
                </c:pt>
                <c:pt idx="56">
                  <c:v>79.517240000000001</c:v>
                </c:pt>
                <c:pt idx="57">
                  <c:v>79.517240000000001</c:v>
                </c:pt>
                <c:pt idx="58">
                  <c:v>79.517240000000001</c:v>
                </c:pt>
                <c:pt idx="59">
                  <c:v>79.517240000000001</c:v>
                </c:pt>
                <c:pt idx="60">
                  <c:v>79.517240000000001</c:v>
                </c:pt>
                <c:pt idx="61">
                  <c:v>79.517240000000001</c:v>
                </c:pt>
                <c:pt idx="62">
                  <c:v>79.517240000000001</c:v>
                </c:pt>
                <c:pt idx="63">
                  <c:v>79.517240000000001</c:v>
                </c:pt>
                <c:pt idx="64">
                  <c:v>79.517240000000001</c:v>
                </c:pt>
                <c:pt idx="65">
                  <c:v>79.517240000000001</c:v>
                </c:pt>
                <c:pt idx="66">
                  <c:v>79.517240000000001</c:v>
                </c:pt>
                <c:pt idx="67">
                  <c:v>79.517240000000001</c:v>
                </c:pt>
                <c:pt idx="68">
                  <c:v>79.517240000000001</c:v>
                </c:pt>
                <c:pt idx="69">
                  <c:v>79.517240000000001</c:v>
                </c:pt>
                <c:pt idx="70">
                  <c:v>79.517240000000001</c:v>
                </c:pt>
                <c:pt idx="71">
                  <c:v>79.517240000000001</c:v>
                </c:pt>
                <c:pt idx="72">
                  <c:v>79.517240000000001</c:v>
                </c:pt>
                <c:pt idx="73">
                  <c:v>79.517240000000001</c:v>
                </c:pt>
                <c:pt idx="74">
                  <c:v>79.517240000000001</c:v>
                </c:pt>
                <c:pt idx="75">
                  <c:v>79.517240000000001</c:v>
                </c:pt>
                <c:pt idx="76">
                  <c:v>79.517240000000001</c:v>
                </c:pt>
                <c:pt idx="77">
                  <c:v>79.517240000000001</c:v>
                </c:pt>
                <c:pt idx="78">
                  <c:v>79.517240000000001</c:v>
                </c:pt>
                <c:pt idx="79">
                  <c:v>79.517240000000001</c:v>
                </c:pt>
                <c:pt idx="80">
                  <c:v>79.517240000000001</c:v>
                </c:pt>
                <c:pt idx="81">
                  <c:v>79.517240000000001</c:v>
                </c:pt>
                <c:pt idx="82">
                  <c:v>79.517240000000001</c:v>
                </c:pt>
                <c:pt idx="83">
                  <c:v>79.517240000000001</c:v>
                </c:pt>
                <c:pt idx="84">
                  <c:v>79.517240000000001</c:v>
                </c:pt>
                <c:pt idx="85">
                  <c:v>79.517240000000001</c:v>
                </c:pt>
                <c:pt idx="86">
                  <c:v>79.517240000000001</c:v>
                </c:pt>
                <c:pt idx="87">
                  <c:v>79.517240000000001</c:v>
                </c:pt>
                <c:pt idx="88">
                  <c:v>79.517240000000001</c:v>
                </c:pt>
                <c:pt idx="89">
                  <c:v>79.517240000000001</c:v>
                </c:pt>
                <c:pt idx="90">
                  <c:v>79.517240000000001</c:v>
                </c:pt>
                <c:pt idx="91">
                  <c:v>79.517240000000001</c:v>
                </c:pt>
                <c:pt idx="92">
                  <c:v>79.517240000000001</c:v>
                </c:pt>
                <c:pt idx="93">
                  <c:v>79.517240000000001</c:v>
                </c:pt>
                <c:pt idx="94">
                  <c:v>79.517240000000001</c:v>
                </c:pt>
                <c:pt idx="95">
                  <c:v>79.517240000000001</c:v>
                </c:pt>
                <c:pt idx="96">
                  <c:v>79.517240000000001</c:v>
                </c:pt>
                <c:pt idx="97">
                  <c:v>79.517240000000001</c:v>
                </c:pt>
                <c:pt idx="98">
                  <c:v>79.517240000000001</c:v>
                </c:pt>
                <c:pt idx="99">
                  <c:v>79.517240000000001</c:v>
                </c:pt>
                <c:pt idx="100">
                  <c:v>79.517240000000001</c:v>
                </c:pt>
                <c:pt idx="101">
                  <c:v>79.517240000000001</c:v>
                </c:pt>
                <c:pt idx="102">
                  <c:v>79.517240000000001</c:v>
                </c:pt>
                <c:pt idx="103">
                  <c:v>79.517240000000001</c:v>
                </c:pt>
                <c:pt idx="104">
                  <c:v>79.517240000000001</c:v>
                </c:pt>
                <c:pt idx="105">
                  <c:v>79.517240000000001</c:v>
                </c:pt>
                <c:pt idx="106">
                  <c:v>79.517240000000001</c:v>
                </c:pt>
                <c:pt idx="107">
                  <c:v>79.517240000000001</c:v>
                </c:pt>
                <c:pt idx="108">
                  <c:v>79.517240000000001</c:v>
                </c:pt>
                <c:pt idx="109">
                  <c:v>79.517240000000001</c:v>
                </c:pt>
                <c:pt idx="110">
                  <c:v>79.517240000000001</c:v>
                </c:pt>
                <c:pt idx="111">
                  <c:v>79.517240000000001</c:v>
                </c:pt>
                <c:pt idx="112">
                  <c:v>79.517240000000001</c:v>
                </c:pt>
                <c:pt idx="113">
                  <c:v>79.517240000000001</c:v>
                </c:pt>
                <c:pt idx="114">
                  <c:v>79.517240000000001</c:v>
                </c:pt>
                <c:pt idx="115">
                  <c:v>79.517240000000001</c:v>
                </c:pt>
                <c:pt idx="116">
                  <c:v>79.517240000000001</c:v>
                </c:pt>
                <c:pt idx="117">
                  <c:v>79.517240000000001</c:v>
                </c:pt>
                <c:pt idx="118">
                  <c:v>79.517240000000001</c:v>
                </c:pt>
                <c:pt idx="119">
                  <c:v>79.517240000000001</c:v>
                </c:pt>
                <c:pt idx="120">
                  <c:v>79.517240000000001</c:v>
                </c:pt>
                <c:pt idx="121">
                  <c:v>79.517240000000001</c:v>
                </c:pt>
                <c:pt idx="122">
                  <c:v>79.517240000000001</c:v>
                </c:pt>
                <c:pt idx="123">
                  <c:v>79.517240000000001</c:v>
                </c:pt>
                <c:pt idx="124">
                  <c:v>79.517240000000001</c:v>
                </c:pt>
                <c:pt idx="125">
                  <c:v>79.517240000000001</c:v>
                </c:pt>
                <c:pt idx="126">
                  <c:v>79.517240000000001</c:v>
                </c:pt>
                <c:pt idx="127">
                  <c:v>79.517240000000001</c:v>
                </c:pt>
                <c:pt idx="128">
                  <c:v>79.517240000000001</c:v>
                </c:pt>
                <c:pt idx="129">
                  <c:v>79.517240000000001</c:v>
                </c:pt>
                <c:pt idx="130">
                  <c:v>79.517240000000001</c:v>
                </c:pt>
                <c:pt idx="131">
                  <c:v>79.517240000000001</c:v>
                </c:pt>
                <c:pt idx="132">
                  <c:v>79.517240000000001</c:v>
                </c:pt>
                <c:pt idx="133">
                  <c:v>79.517240000000001</c:v>
                </c:pt>
                <c:pt idx="134">
                  <c:v>79.517240000000001</c:v>
                </c:pt>
                <c:pt idx="135">
                  <c:v>79.517240000000001</c:v>
                </c:pt>
                <c:pt idx="136">
                  <c:v>79.517240000000001</c:v>
                </c:pt>
                <c:pt idx="137">
                  <c:v>79.517240000000001</c:v>
                </c:pt>
                <c:pt idx="138">
                  <c:v>79.517240000000001</c:v>
                </c:pt>
                <c:pt idx="139">
                  <c:v>79.517240000000001</c:v>
                </c:pt>
                <c:pt idx="140">
                  <c:v>79.517240000000001</c:v>
                </c:pt>
                <c:pt idx="141">
                  <c:v>79.517240000000001</c:v>
                </c:pt>
                <c:pt idx="142">
                  <c:v>79.517240000000001</c:v>
                </c:pt>
                <c:pt idx="143">
                  <c:v>79.517240000000001</c:v>
                </c:pt>
                <c:pt idx="144">
                  <c:v>79.517240000000001</c:v>
                </c:pt>
                <c:pt idx="145">
                  <c:v>79.517240000000001</c:v>
                </c:pt>
                <c:pt idx="146">
                  <c:v>79.517240000000001</c:v>
                </c:pt>
                <c:pt idx="147">
                  <c:v>79.517240000000001</c:v>
                </c:pt>
                <c:pt idx="148">
                  <c:v>79.517240000000001</c:v>
                </c:pt>
                <c:pt idx="149">
                  <c:v>79.517240000000001</c:v>
                </c:pt>
                <c:pt idx="150">
                  <c:v>79.517240000000001</c:v>
                </c:pt>
                <c:pt idx="151">
                  <c:v>79.517240000000001</c:v>
                </c:pt>
                <c:pt idx="152">
                  <c:v>79.517240000000001</c:v>
                </c:pt>
                <c:pt idx="153">
                  <c:v>79.517240000000001</c:v>
                </c:pt>
                <c:pt idx="154">
                  <c:v>79.517240000000001</c:v>
                </c:pt>
                <c:pt idx="155">
                  <c:v>79.517240000000001</c:v>
                </c:pt>
                <c:pt idx="156">
                  <c:v>79.517240000000001</c:v>
                </c:pt>
                <c:pt idx="157">
                  <c:v>79.517240000000001</c:v>
                </c:pt>
                <c:pt idx="158">
                  <c:v>79.517240000000001</c:v>
                </c:pt>
                <c:pt idx="159">
                  <c:v>79.517240000000001</c:v>
                </c:pt>
                <c:pt idx="160">
                  <c:v>79.517240000000001</c:v>
                </c:pt>
                <c:pt idx="161">
                  <c:v>79.517240000000001</c:v>
                </c:pt>
                <c:pt idx="162">
                  <c:v>79.517240000000001</c:v>
                </c:pt>
                <c:pt idx="163">
                  <c:v>79.517240000000001</c:v>
                </c:pt>
                <c:pt idx="164">
                  <c:v>79.517240000000001</c:v>
                </c:pt>
                <c:pt idx="165">
                  <c:v>79.517240000000001</c:v>
                </c:pt>
                <c:pt idx="166">
                  <c:v>79.517240000000001</c:v>
                </c:pt>
                <c:pt idx="167">
                  <c:v>79.517240000000001</c:v>
                </c:pt>
                <c:pt idx="168">
                  <c:v>79.517240000000001</c:v>
                </c:pt>
                <c:pt idx="169">
                  <c:v>79.517240000000001</c:v>
                </c:pt>
                <c:pt idx="170">
                  <c:v>79.517240000000001</c:v>
                </c:pt>
                <c:pt idx="171">
                  <c:v>79.517240000000001</c:v>
                </c:pt>
                <c:pt idx="172">
                  <c:v>79.517240000000001</c:v>
                </c:pt>
                <c:pt idx="173">
                  <c:v>79.517240000000001</c:v>
                </c:pt>
                <c:pt idx="174">
                  <c:v>79.517240000000001</c:v>
                </c:pt>
                <c:pt idx="175">
                  <c:v>79.517240000000001</c:v>
                </c:pt>
                <c:pt idx="176">
                  <c:v>79.517240000000001</c:v>
                </c:pt>
                <c:pt idx="177">
                  <c:v>79.517240000000001</c:v>
                </c:pt>
                <c:pt idx="178">
                  <c:v>79.517240000000001</c:v>
                </c:pt>
                <c:pt idx="179">
                  <c:v>79.517240000000001</c:v>
                </c:pt>
                <c:pt idx="180">
                  <c:v>79.517240000000001</c:v>
                </c:pt>
                <c:pt idx="181">
                  <c:v>79.517240000000001</c:v>
                </c:pt>
                <c:pt idx="182">
                  <c:v>79.517240000000001</c:v>
                </c:pt>
                <c:pt idx="183">
                  <c:v>79.517240000000001</c:v>
                </c:pt>
                <c:pt idx="184">
                  <c:v>79.517240000000001</c:v>
                </c:pt>
                <c:pt idx="185">
                  <c:v>79.517240000000001</c:v>
                </c:pt>
                <c:pt idx="186">
                  <c:v>79.517240000000001</c:v>
                </c:pt>
                <c:pt idx="187">
                  <c:v>79.517240000000001</c:v>
                </c:pt>
                <c:pt idx="188">
                  <c:v>79.517240000000001</c:v>
                </c:pt>
                <c:pt idx="189">
                  <c:v>79.517240000000001</c:v>
                </c:pt>
                <c:pt idx="190">
                  <c:v>79.517240000000001</c:v>
                </c:pt>
                <c:pt idx="191">
                  <c:v>79.517240000000001</c:v>
                </c:pt>
                <c:pt idx="192">
                  <c:v>79.517240000000001</c:v>
                </c:pt>
                <c:pt idx="193">
                  <c:v>79.517240000000001</c:v>
                </c:pt>
                <c:pt idx="194">
                  <c:v>79.517240000000001</c:v>
                </c:pt>
                <c:pt idx="195">
                  <c:v>79.517240000000001</c:v>
                </c:pt>
                <c:pt idx="196">
                  <c:v>79.517240000000001</c:v>
                </c:pt>
                <c:pt idx="197">
                  <c:v>79.517240000000001</c:v>
                </c:pt>
                <c:pt idx="198">
                  <c:v>79.517240000000001</c:v>
                </c:pt>
                <c:pt idx="199">
                  <c:v>79.517240000000001</c:v>
                </c:pt>
                <c:pt idx="200">
                  <c:v>79.517240000000001</c:v>
                </c:pt>
                <c:pt idx="201">
                  <c:v>79.517240000000001</c:v>
                </c:pt>
                <c:pt idx="202">
                  <c:v>79.517240000000001</c:v>
                </c:pt>
                <c:pt idx="203">
                  <c:v>79.517240000000001</c:v>
                </c:pt>
                <c:pt idx="204">
                  <c:v>79.517240000000001</c:v>
                </c:pt>
                <c:pt idx="205">
                  <c:v>79.517240000000001</c:v>
                </c:pt>
                <c:pt idx="206">
                  <c:v>79.517240000000001</c:v>
                </c:pt>
                <c:pt idx="207">
                  <c:v>79.517240000000001</c:v>
                </c:pt>
                <c:pt idx="208">
                  <c:v>79.517240000000001</c:v>
                </c:pt>
                <c:pt idx="209">
                  <c:v>79.517240000000001</c:v>
                </c:pt>
                <c:pt idx="210">
                  <c:v>79.517240000000001</c:v>
                </c:pt>
                <c:pt idx="211">
                  <c:v>79.517240000000001</c:v>
                </c:pt>
                <c:pt idx="212">
                  <c:v>79.517240000000001</c:v>
                </c:pt>
                <c:pt idx="213">
                  <c:v>79.517240000000001</c:v>
                </c:pt>
                <c:pt idx="214">
                  <c:v>79.517240000000001</c:v>
                </c:pt>
                <c:pt idx="215">
                  <c:v>79.517240000000001</c:v>
                </c:pt>
                <c:pt idx="216">
                  <c:v>79.517240000000001</c:v>
                </c:pt>
                <c:pt idx="217">
                  <c:v>79.517240000000001</c:v>
                </c:pt>
                <c:pt idx="218">
                  <c:v>79.517240000000001</c:v>
                </c:pt>
                <c:pt idx="219">
                  <c:v>79.517240000000001</c:v>
                </c:pt>
                <c:pt idx="220">
                  <c:v>79.517240000000001</c:v>
                </c:pt>
                <c:pt idx="221">
                  <c:v>79.517240000000001</c:v>
                </c:pt>
                <c:pt idx="222">
                  <c:v>79.517240000000001</c:v>
                </c:pt>
                <c:pt idx="223">
                  <c:v>79.517240000000001</c:v>
                </c:pt>
                <c:pt idx="224">
                  <c:v>79.517240000000001</c:v>
                </c:pt>
                <c:pt idx="225">
                  <c:v>79.517240000000001</c:v>
                </c:pt>
                <c:pt idx="226">
                  <c:v>79.517240000000001</c:v>
                </c:pt>
                <c:pt idx="227">
                  <c:v>79.517240000000001</c:v>
                </c:pt>
                <c:pt idx="228">
                  <c:v>79.517240000000001</c:v>
                </c:pt>
                <c:pt idx="229">
                  <c:v>79.517240000000001</c:v>
                </c:pt>
                <c:pt idx="230">
                  <c:v>79.517240000000001</c:v>
                </c:pt>
                <c:pt idx="231">
                  <c:v>79.517240000000001</c:v>
                </c:pt>
                <c:pt idx="232">
                  <c:v>79.517240000000001</c:v>
                </c:pt>
                <c:pt idx="233">
                  <c:v>79.517240000000001</c:v>
                </c:pt>
                <c:pt idx="234">
                  <c:v>79.517240000000001</c:v>
                </c:pt>
                <c:pt idx="235">
                  <c:v>79.517240000000001</c:v>
                </c:pt>
                <c:pt idx="236">
                  <c:v>79.517240000000001</c:v>
                </c:pt>
                <c:pt idx="237">
                  <c:v>79.517240000000001</c:v>
                </c:pt>
                <c:pt idx="238">
                  <c:v>79.517240000000001</c:v>
                </c:pt>
                <c:pt idx="239">
                  <c:v>79.517240000000001</c:v>
                </c:pt>
                <c:pt idx="240">
                  <c:v>79.517240000000001</c:v>
                </c:pt>
                <c:pt idx="241">
                  <c:v>79.517240000000001</c:v>
                </c:pt>
                <c:pt idx="242">
                  <c:v>79.517240000000001</c:v>
                </c:pt>
                <c:pt idx="243">
                  <c:v>79.517240000000001</c:v>
                </c:pt>
                <c:pt idx="244">
                  <c:v>79.517240000000001</c:v>
                </c:pt>
                <c:pt idx="245">
                  <c:v>79.517240000000001</c:v>
                </c:pt>
                <c:pt idx="246">
                  <c:v>79.517240000000001</c:v>
                </c:pt>
                <c:pt idx="247">
                  <c:v>79.517240000000001</c:v>
                </c:pt>
                <c:pt idx="248">
                  <c:v>79.517240000000001</c:v>
                </c:pt>
                <c:pt idx="249">
                  <c:v>79.517240000000001</c:v>
                </c:pt>
                <c:pt idx="250">
                  <c:v>79.517240000000001</c:v>
                </c:pt>
                <c:pt idx="251">
                  <c:v>79.517240000000001</c:v>
                </c:pt>
                <c:pt idx="252">
                  <c:v>79.517240000000001</c:v>
                </c:pt>
                <c:pt idx="253">
                  <c:v>79.517240000000001</c:v>
                </c:pt>
                <c:pt idx="254">
                  <c:v>79.517240000000001</c:v>
                </c:pt>
                <c:pt idx="255">
                  <c:v>79.517240000000001</c:v>
                </c:pt>
                <c:pt idx="256">
                  <c:v>79.517240000000001</c:v>
                </c:pt>
                <c:pt idx="257">
                  <c:v>79.517240000000001</c:v>
                </c:pt>
                <c:pt idx="258">
                  <c:v>79.517240000000001</c:v>
                </c:pt>
                <c:pt idx="259">
                  <c:v>79.517240000000001</c:v>
                </c:pt>
                <c:pt idx="260">
                  <c:v>79.517240000000001</c:v>
                </c:pt>
                <c:pt idx="261">
                  <c:v>79.517240000000001</c:v>
                </c:pt>
                <c:pt idx="262">
                  <c:v>79.517240000000001</c:v>
                </c:pt>
                <c:pt idx="263">
                  <c:v>79.517240000000001</c:v>
                </c:pt>
                <c:pt idx="264">
                  <c:v>79.517240000000001</c:v>
                </c:pt>
                <c:pt idx="265">
                  <c:v>79.517240000000001</c:v>
                </c:pt>
                <c:pt idx="266">
                  <c:v>79.517240000000001</c:v>
                </c:pt>
                <c:pt idx="267">
                  <c:v>79.517240000000001</c:v>
                </c:pt>
                <c:pt idx="268">
                  <c:v>79.517240000000001</c:v>
                </c:pt>
                <c:pt idx="269">
                  <c:v>79.517240000000001</c:v>
                </c:pt>
                <c:pt idx="270">
                  <c:v>79.517240000000001</c:v>
                </c:pt>
                <c:pt idx="271">
                  <c:v>79.517240000000001</c:v>
                </c:pt>
                <c:pt idx="272">
                  <c:v>79.517240000000001</c:v>
                </c:pt>
                <c:pt idx="273">
                  <c:v>79.517240000000001</c:v>
                </c:pt>
                <c:pt idx="274">
                  <c:v>79.517240000000001</c:v>
                </c:pt>
                <c:pt idx="275">
                  <c:v>79.517240000000001</c:v>
                </c:pt>
                <c:pt idx="276">
                  <c:v>79.517240000000001</c:v>
                </c:pt>
                <c:pt idx="277">
                  <c:v>79.517240000000001</c:v>
                </c:pt>
                <c:pt idx="278">
                  <c:v>79.517240000000001</c:v>
                </c:pt>
                <c:pt idx="279">
                  <c:v>79.517240000000001</c:v>
                </c:pt>
                <c:pt idx="280">
                  <c:v>79.517240000000001</c:v>
                </c:pt>
                <c:pt idx="281">
                  <c:v>79.517240000000001</c:v>
                </c:pt>
                <c:pt idx="282">
                  <c:v>79.517240000000001</c:v>
                </c:pt>
                <c:pt idx="283">
                  <c:v>79.517240000000001</c:v>
                </c:pt>
                <c:pt idx="284">
                  <c:v>79.517240000000001</c:v>
                </c:pt>
                <c:pt idx="285">
                  <c:v>79.517240000000001</c:v>
                </c:pt>
                <c:pt idx="286">
                  <c:v>79.517240000000001</c:v>
                </c:pt>
                <c:pt idx="287">
                  <c:v>79.517240000000001</c:v>
                </c:pt>
                <c:pt idx="288">
                  <c:v>79.517240000000001</c:v>
                </c:pt>
                <c:pt idx="289">
                  <c:v>79.517240000000001</c:v>
                </c:pt>
                <c:pt idx="290">
                  <c:v>79.517240000000001</c:v>
                </c:pt>
                <c:pt idx="291">
                  <c:v>79.517240000000001</c:v>
                </c:pt>
                <c:pt idx="292">
                  <c:v>79.517240000000001</c:v>
                </c:pt>
                <c:pt idx="293">
                  <c:v>79.517240000000001</c:v>
                </c:pt>
                <c:pt idx="294">
                  <c:v>79.517240000000001</c:v>
                </c:pt>
                <c:pt idx="295">
                  <c:v>79.517240000000001</c:v>
                </c:pt>
                <c:pt idx="296">
                  <c:v>79.517240000000001</c:v>
                </c:pt>
                <c:pt idx="297">
                  <c:v>79.517240000000001</c:v>
                </c:pt>
                <c:pt idx="298">
                  <c:v>79.517240000000001</c:v>
                </c:pt>
                <c:pt idx="299">
                  <c:v>79.517240000000001</c:v>
                </c:pt>
                <c:pt idx="300">
                  <c:v>79.517240000000001</c:v>
                </c:pt>
                <c:pt idx="301">
                  <c:v>79.517240000000001</c:v>
                </c:pt>
                <c:pt idx="302">
                  <c:v>79.517240000000001</c:v>
                </c:pt>
                <c:pt idx="303">
                  <c:v>79.517240000000001</c:v>
                </c:pt>
                <c:pt idx="304">
                  <c:v>79.517240000000001</c:v>
                </c:pt>
                <c:pt idx="305">
                  <c:v>79.517240000000001</c:v>
                </c:pt>
                <c:pt idx="306">
                  <c:v>79.517240000000001</c:v>
                </c:pt>
                <c:pt idx="307">
                  <c:v>79.517240000000001</c:v>
                </c:pt>
                <c:pt idx="308">
                  <c:v>79.517240000000001</c:v>
                </c:pt>
                <c:pt idx="309">
                  <c:v>79.517240000000001</c:v>
                </c:pt>
                <c:pt idx="310">
                  <c:v>79.517240000000001</c:v>
                </c:pt>
                <c:pt idx="311">
                  <c:v>79.517240000000001</c:v>
                </c:pt>
                <c:pt idx="312">
                  <c:v>79.517240000000001</c:v>
                </c:pt>
                <c:pt idx="313">
                  <c:v>79.517240000000001</c:v>
                </c:pt>
                <c:pt idx="314">
                  <c:v>79.517240000000001</c:v>
                </c:pt>
                <c:pt idx="315">
                  <c:v>79.517240000000001</c:v>
                </c:pt>
                <c:pt idx="316">
                  <c:v>79.517240000000001</c:v>
                </c:pt>
                <c:pt idx="317">
                  <c:v>79.517240000000001</c:v>
                </c:pt>
                <c:pt idx="318">
                  <c:v>79.517240000000001</c:v>
                </c:pt>
                <c:pt idx="319">
                  <c:v>79.517240000000001</c:v>
                </c:pt>
                <c:pt idx="320">
                  <c:v>79.517240000000001</c:v>
                </c:pt>
                <c:pt idx="321">
                  <c:v>79.517240000000001</c:v>
                </c:pt>
                <c:pt idx="322">
                  <c:v>79.517240000000001</c:v>
                </c:pt>
                <c:pt idx="323">
                  <c:v>79.517240000000001</c:v>
                </c:pt>
                <c:pt idx="324">
                  <c:v>79.517240000000001</c:v>
                </c:pt>
                <c:pt idx="325">
                  <c:v>79.517240000000001</c:v>
                </c:pt>
                <c:pt idx="326">
                  <c:v>79.517240000000001</c:v>
                </c:pt>
                <c:pt idx="327">
                  <c:v>79.517240000000001</c:v>
                </c:pt>
                <c:pt idx="328">
                  <c:v>79.517240000000001</c:v>
                </c:pt>
                <c:pt idx="329">
                  <c:v>79.517240000000001</c:v>
                </c:pt>
                <c:pt idx="330">
                  <c:v>79.517240000000001</c:v>
                </c:pt>
                <c:pt idx="331">
                  <c:v>79.517240000000001</c:v>
                </c:pt>
                <c:pt idx="332">
                  <c:v>79.517240000000001</c:v>
                </c:pt>
                <c:pt idx="333">
                  <c:v>79.517240000000001</c:v>
                </c:pt>
                <c:pt idx="334">
                  <c:v>79.517240000000001</c:v>
                </c:pt>
                <c:pt idx="335">
                  <c:v>79.517240000000001</c:v>
                </c:pt>
                <c:pt idx="336">
                  <c:v>79.517240000000001</c:v>
                </c:pt>
                <c:pt idx="337">
                  <c:v>79.517240000000001</c:v>
                </c:pt>
                <c:pt idx="338">
                  <c:v>79.517240000000001</c:v>
                </c:pt>
                <c:pt idx="339">
                  <c:v>79.517240000000001</c:v>
                </c:pt>
                <c:pt idx="340">
                  <c:v>79.517240000000001</c:v>
                </c:pt>
                <c:pt idx="341">
                  <c:v>79.517240000000001</c:v>
                </c:pt>
                <c:pt idx="342">
                  <c:v>79.517240000000001</c:v>
                </c:pt>
                <c:pt idx="343">
                  <c:v>79.517240000000001</c:v>
                </c:pt>
                <c:pt idx="344">
                  <c:v>79.517240000000001</c:v>
                </c:pt>
                <c:pt idx="345">
                  <c:v>79.517240000000001</c:v>
                </c:pt>
                <c:pt idx="346">
                  <c:v>79.517240000000001</c:v>
                </c:pt>
                <c:pt idx="347">
                  <c:v>79.517240000000001</c:v>
                </c:pt>
                <c:pt idx="348">
                  <c:v>79.517240000000001</c:v>
                </c:pt>
                <c:pt idx="349">
                  <c:v>79.517240000000001</c:v>
                </c:pt>
                <c:pt idx="350">
                  <c:v>79.517240000000001</c:v>
                </c:pt>
                <c:pt idx="351">
                  <c:v>79.517240000000001</c:v>
                </c:pt>
                <c:pt idx="352">
                  <c:v>79.517240000000001</c:v>
                </c:pt>
                <c:pt idx="353">
                  <c:v>79.517240000000001</c:v>
                </c:pt>
                <c:pt idx="354">
                  <c:v>79.517240000000001</c:v>
                </c:pt>
                <c:pt idx="355">
                  <c:v>79.517240000000001</c:v>
                </c:pt>
                <c:pt idx="356">
                  <c:v>79.517240000000001</c:v>
                </c:pt>
                <c:pt idx="357">
                  <c:v>79.517240000000001</c:v>
                </c:pt>
                <c:pt idx="358">
                  <c:v>79.517240000000001</c:v>
                </c:pt>
                <c:pt idx="359">
                  <c:v>79.517240000000001</c:v>
                </c:pt>
                <c:pt idx="360">
                  <c:v>79.517240000000001</c:v>
                </c:pt>
                <c:pt idx="361">
                  <c:v>79.517240000000001</c:v>
                </c:pt>
                <c:pt idx="362">
                  <c:v>79.517240000000001</c:v>
                </c:pt>
                <c:pt idx="363">
                  <c:v>79.517240000000001</c:v>
                </c:pt>
                <c:pt idx="364">
                  <c:v>79.517240000000001</c:v>
                </c:pt>
              </c:numCache>
            </c:numRef>
          </c:val>
          <c:extLst>
            <c:ext xmlns:c16="http://schemas.microsoft.com/office/drawing/2014/chart" uri="{C3380CC4-5D6E-409C-BE32-E72D297353CC}">
              <c16:uniqueId val="{00000000-6E3A-471F-9D6F-40CCA298E89C}"/>
            </c:ext>
          </c:extLst>
        </c:ser>
        <c:ser>
          <c:idx val="1"/>
          <c:order val="2"/>
          <c:tx>
            <c:strRef>
              <c:f>'5. Historical demand'!$D$40:$D$41</c:f>
              <c:strCache>
                <c:ptCount val="2"/>
                <c:pt idx="0">
                  <c:v>Contracted firm capacity-storage</c:v>
                </c:pt>
                <c:pt idx="1">
                  <c:v>TJ/day</c:v>
                </c:pt>
              </c:strCache>
            </c:strRef>
          </c:tx>
          <c:spPr>
            <a:solidFill>
              <a:srgbClr val="FFECC9"/>
            </a:solidFill>
            <a:ln w="28575" cap="rnd">
              <a:solidFill>
                <a:srgbClr val="FFECC9"/>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demand'!$D$43:$D$408</c:f>
              <c:numCache>
                <c:formatCode>_(* #,##0_);_(* \(#,##0\);_(* "-"_);_(@_)</c:formatCode>
                <c:ptCount val="366"/>
                <c:pt idx="0">
                  <c:v>63.051724137931032</c:v>
                </c:pt>
                <c:pt idx="1">
                  <c:v>63.051724137931032</c:v>
                </c:pt>
                <c:pt idx="2">
                  <c:v>63.051724137931032</c:v>
                </c:pt>
                <c:pt idx="3">
                  <c:v>63.051724137931032</c:v>
                </c:pt>
                <c:pt idx="4">
                  <c:v>63.051724137931032</c:v>
                </c:pt>
                <c:pt idx="5">
                  <c:v>63.051724137931032</c:v>
                </c:pt>
                <c:pt idx="6">
                  <c:v>63.051724137931032</c:v>
                </c:pt>
                <c:pt idx="7">
                  <c:v>63.051724137931032</c:v>
                </c:pt>
                <c:pt idx="8">
                  <c:v>63.051724137931032</c:v>
                </c:pt>
                <c:pt idx="9">
                  <c:v>63.051724137931032</c:v>
                </c:pt>
                <c:pt idx="10">
                  <c:v>63.051724137931032</c:v>
                </c:pt>
                <c:pt idx="11">
                  <c:v>63.051724137931032</c:v>
                </c:pt>
                <c:pt idx="12">
                  <c:v>63.051724137931032</c:v>
                </c:pt>
                <c:pt idx="13">
                  <c:v>63.051724137931032</c:v>
                </c:pt>
                <c:pt idx="14">
                  <c:v>63.051724137931032</c:v>
                </c:pt>
                <c:pt idx="15">
                  <c:v>63.051724137931032</c:v>
                </c:pt>
                <c:pt idx="16">
                  <c:v>63.051724137931032</c:v>
                </c:pt>
                <c:pt idx="17">
                  <c:v>63.051724137931032</c:v>
                </c:pt>
                <c:pt idx="18">
                  <c:v>63.051724137931032</c:v>
                </c:pt>
                <c:pt idx="19">
                  <c:v>63.051724137931032</c:v>
                </c:pt>
                <c:pt idx="20">
                  <c:v>63.051724137931032</c:v>
                </c:pt>
                <c:pt idx="21">
                  <c:v>63.051724137931032</c:v>
                </c:pt>
                <c:pt idx="22">
                  <c:v>63.051724137931032</c:v>
                </c:pt>
                <c:pt idx="23">
                  <c:v>63.051724137931032</c:v>
                </c:pt>
                <c:pt idx="24">
                  <c:v>63.051724137931032</c:v>
                </c:pt>
                <c:pt idx="25">
                  <c:v>63.051724137931032</c:v>
                </c:pt>
                <c:pt idx="26">
                  <c:v>63.051724137931032</c:v>
                </c:pt>
                <c:pt idx="27">
                  <c:v>63.051724137931032</c:v>
                </c:pt>
                <c:pt idx="28">
                  <c:v>63.051724137931032</c:v>
                </c:pt>
                <c:pt idx="29">
                  <c:v>63.051724137931032</c:v>
                </c:pt>
                <c:pt idx="30">
                  <c:v>63.051724137931032</c:v>
                </c:pt>
                <c:pt idx="31">
                  <c:v>63.051724137931032</c:v>
                </c:pt>
                <c:pt idx="32">
                  <c:v>63.051724137931032</c:v>
                </c:pt>
                <c:pt idx="33">
                  <c:v>63.051724137931032</c:v>
                </c:pt>
                <c:pt idx="34">
                  <c:v>63.051724137931032</c:v>
                </c:pt>
                <c:pt idx="35">
                  <c:v>63.051724137931032</c:v>
                </c:pt>
                <c:pt idx="36">
                  <c:v>63.051724137931032</c:v>
                </c:pt>
                <c:pt idx="37">
                  <c:v>63.051724137931032</c:v>
                </c:pt>
                <c:pt idx="38">
                  <c:v>63.051724137931032</c:v>
                </c:pt>
                <c:pt idx="39">
                  <c:v>63.051724137931032</c:v>
                </c:pt>
                <c:pt idx="40">
                  <c:v>63.051724137931032</c:v>
                </c:pt>
                <c:pt idx="41">
                  <c:v>63.051724137931032</c:v>
                </c:pt>
                <c:pt idx="42">
                  <c:v>63.051724137931032</c:v>
                </c:pt>
                <c:pt idx="43">
                  <c:v>63.051724137931032</c:v>
                </c:pt>
                <c:pt idx="44">
                  <c:v>63.051724137931032</c:v>
                </c:pt>
                <c:pt idx="45">
                  <c:v>63.051724137931032</c:v>
                </c:pt>
                <c:pt idx="46">
                  <c:v>63.051724137931032</c:v>
                </c:pt>
                <c:pt idx="47">
                  <c:v>63.051724137931032</c:v>
                </c:pt>
                <c:pt idx="48">
                  <c:v>63.051724137931032</c:v>
                </c:pt>
                <c:pt idx="49">
                  <c:v>63.051724137931032</c:v>
                </c:pt>
                <c:pt idx="50">
                  <c:v>63.051724137931032</c:v>
                </c:pt>
                <c:pt idx="51">
                  <c:v>63.051724137931032</c:v>
                </c:pt>
                <c:pt idx="52">
                  <c:v>63.051724137931032</c:v>
                </c:pt>
                <c:pt idx="53">
                  <c:v>63.051724137931032</c:v>
                </c:pt>
                <c:pt idx="54">
                  <c:v>63.051724137931032</c:v>
                </c:pt>
                <c:pt idx="55">
                  <c:v>63.051724137931032</c:v>
                </c:pt>
                <c:pt idx="56">
                  <c:v>63.051724137931032</c:v>
                </c:pt>
                <c:pt idx="57">
                  <c:v>63.051724137931032</c:v>
                </c:pt>
                <c:pt idx="58">
                  <c:v>63.051724137931032</c:v>
                </c:pt>
                <c:pt idx="59">
                  <c:v>63.051724137931032</c:v>
                </c:pt>
                <c:pt idx="60">
                  <c:v>63.051724137931032</c:v>
                </c:pt>
                <c:pt idx="61">
                  <c:v>63.051724137931032</c:v>
                </c:pt>
                <c:pt idx="62">
                  <c:v>63.051724137931032</c:v>
                </c:pt>
                <c:pt idx="63">
                  <c:v>63.051724137931032</c:v>
                </c:pt>
                <c:pt idx="64">
                  <c:v>63.051724137931032</c:v>
                </c:pt>
                <c:pt idx="65">
                  <c:v>63.051724137931032</c:v>
                </c:pt>
                <c:pt idx="66">
                  <c:v>63.051724137931032</c:v>
                </c:pt>
                <c:pt idx="67">
                  <c:v>63.051724137931032</c:v>
                </c:pt>
                <c:pt idx="68">
                  <c:v>63.051724137931032</c:v>
                </c:pt>
                <c:pt idx="69">
                  <c:v>63.051724137931032</c:v>
                </c:pt>
                <c:pt idx="70">
                  <c:v>63.051724137931032</c:v>
                </c:pt>
                <c:pt idx="71">
                  <c:v>63.051724137931032</c:v>
                </c:pt>
                <c:pt idx="72">
                  <c:v>63.051724137931032</c:v>
                </c:pt>
                <c:pt idx="73">
                  <c:v>63.051724137931032</c:v>
                </c:pt>
                <c:pt idx="74">
                  <c:v>63.051724137931032</c:v>
                </c:pt>
                <c:pt idx="75">
                  <c:v>63.051724137931032</c:v>
                </c:pt>
                <c:pt idx="76">
                  <c:v>63.051724137931032</c:v>
                </c:pt>
                <c:pt idx="77">
                  <c:v>63.051724137931032</c:v>
                </c:pt>
                <c:pt idx="78">
                  <c:v>63.051724137931032</c:v>
                </c:pt>
                <c:pt idx="79">
                  <c:v>63.051724137931032</c:v>
                </c:pt>
                <c:pt idx="80">
                  <c:v>63.051724137931032</c:v>
                </c:pt>
                <c:pt idx="81">
                  <c:v>63.051724137931032</c:v>
                </c:pt>
                <c:pt idx="82">
                  <c:v>63.051724137931032</c:v>
                </c:pt>
                <c:pt idx="83">
                  <c:v>63.051724137931032</c:v>
                </c:pt>
                <c:pt idx="84">
                  <c:v>63.051724137931032</c:v>
                </c:pt>
                <c:pt idx="85">
                  <c:v>63.051724137931032</c:v>
                </c:pt>
                <c:pt idx="86">
                  <c:v>63.051724137931032</c:v>
                </c:pt>
                <c:pt idx="87">
                  <c:v>63.051724137931032</c:v>
                </c:pt>
                <c:pt idx="88">
                  <c:v>63.051724137931032</c:v>
                </c:pt>
                <c:pt idx="89">
                  <c:v>63.051724137931032</c:v>
                </c:pt>
                <c:pt idx="90">
                  <c:v>63.051724137931032</c:v>
                </c:pt>
                <c:pt idx="91">
                  <c:v>63.051724137931032</c:v>
                </c:pt>
                <c:pt idx="92">
                  <c:v>63.051724137931032</c:v>
                </c:pt>
                <c:pt idx="93">
                  <c:v>63.051724137931032</c:v>
                </c:pt>
                <c:pt idx="94">
                  <c:v>63.051724137931032</c:v>
                </c:pt>
                <c:pt idx="95">
                  <c:v>63.051724137931032</c:v>
                </c:pt>
                <c:pt idx="96">
                  <c:v>63.051724137931032</c:v>
                </c:pt>
                <c:pt idx="97">
                  <c:v>63.051724137931032</c:v>
                </c:pt>
                <c:pt idx="98">
                  <c:v>63.051724137931032</c:v>
                </c:pt>
                <c:pt idx="99">
                  <c:v>63.051724137931032</c:v>
                </c:pt>
                <c:pt idx="100">
                  <c:v>63.051724137931032</c:v>
                </c:pt>
                <c:pt idx="101">
                  <c:v>63.051724137931032</c:v>
                </c:pt>
                <c:pt idx="102">
                  <c:v>63.051724137931032</c:v>
                </c:pt>
                <c:pt idx="103">
                  <c:v>63.051724137931032</c:v>
                </c:pt>
                <c:pt idx="104">
                  <c:v>63.051724137931032</c:v>
                </c:pt>
                <c:pt idx="105">
                  <c:v>63.051724137931032</c:v>
                </c:pt>
                <c:pt idx="106">
                  <c:v>63.051724137931032</c:v>
                </c:pt>
                <c:pt idx="107">
                  <c:v>63.051724137931032</c:v>
                </c:pt>
                <c:pt idx="108">
                  <c:v>63.051724137931032</c:v>
                </c:pt>
                <c:pt idx="109">
                  <c:v>63.051724137931032</c:v>
                </c:pt>
                <c:pt idx="110">
                  <c:v>63.051724137931032</c:v>
                </c:pt>
                <c:pt idx="111">
                  <c:v>63.051724137931032</c:v>
                </c:pt>
                <c:pt idx="112">
                  <c:v>63.051724137931032</c:v>
                </c:pt>
                <c:pt idx="113">
                  <c:v>63.051724137931032</c:v>
                </c:pt>
                <c:pt idx="114">
                  <c:v>63.051724137931032</c:v>
                </c:pt>
                <c:pt idx="115">
                  <c:v>63.051724137931032</c:v>
                </c:pt>
                <c:pt idx="116">
                  <c:v>63.051724137931032</c:v>
                </c:pt>
                <c:pt idx="117">
                  <c:v>63.051724137931032</c:v>
                </c:pt>
                <c:pt idx="118">
                  <c:v>63.051724137931032</c:v>
                </c:pt>
                <c:pt idx="119">
                  <c:v>63.051724137931032</c:v>
                </c:pt>
                <c:pt idx="120">
                  <c:v>63.051724137931032</c:v>
                </c:pt>
                <c:pt idx="121">
                  <c:v>63.051724137931032</c:v>
                </c:pt>
                <c:pt idx="122">
                  <c:v>63.051724137931032</c:v>
                </c:pt>
                <c:pt idx="123">
                  <c:v>63.051724137931032</c:v>
                </c:pt>
                <c:pt idx="124">
                  <c:v>63.051724137931032</c:v>
                </c:pt>
                <c:pt idx="125">
                  <c:v>63.051724137931032</c:v>
                </c:pt>
                <c:pt idx="126">
                  <c:v>63.051724137931032</c:v>
                </c:pt>
                <c:pt idx="127">
                  <c:v>63.051724137931032</c:v>
                </c:pt>
                <c:pt idx="128">
                  <c:v>63.051724137931032</c:v>
                </c:pt>
                <c:pt idx="129">
                  <c:v>63.051724137931032</c:v>
                </c:pt>
                <c:pt idx="130">
                  <c:v>63.051724137931032</c:v>
                </c:pt>
                <c:pt idx="131">
                  <c:v>63.051724137931032</c:v>
                </c:pt>
                <c:pt idx="132">
                  <c:v>63.051724137931032</c:v>
                </c:pt>
                <c:pt idx="133">
                  <c:v>63.051724137931032</c:v>
                </c:pt>
                <c:pt idx="134">
                  <c:v>63.051724137931032</c:v>
                </c:pt>
                <c:pt idx="135">
                  <c:v>63.051724137931032</c:v>
                </c:pt>
                <c:pt idx="136">
                  <c:v>63.051724137931032</c:v>
                </c:pt>
                <c:pt idx="137">
                  <c:v>63.051724137931032</c:v>
                </c:pt>
                <c:pt idx="138">
                  <c:v>63.051724137931032</c:v>
                </c:pt>
                <c:pt idx="139">
                  <c:v>63.051724137931032</c:v>
                </c:pt>
                <c:pt idx="140">
                  <c:v>63.051724137931032</c:v>
                </c:pt>
                <c:pt idx="141">
                  <c:v>63.051724137931032</c:v>
                </c:pt>
                <c:pt idx="142">
                  <c:v>63.051724137931032</c:v>
                </c:pt>
                <c:pt idx="143">
                  <c:v>63.051724137931032</c:v>
                </c:pt>
                <c:pt idx="144">
                  <c:v>63.051724137931032</c:v>
                </c:pt>
                <c:pt idx="145">
                  <c:v>63.051724137931032</c:v>
                </c:pt>
                <c:pt idx="146">
                  <c:v>63.051724137931032</c:v>
                </c:pt>
                <c:pt idx="147">
                  <c:v>63.051724137931032</c:v>
                </c:pt>
                <c:pt idx="148">
                  <c:v>63.051724137931032</c:v>
                </c:pt>
                <c:pt idx="149">
                  <c:v>63.051724137931032</c:v>
                </c:pt>
                <c:pt idx="150">
                  <c:v>63.051724137931032</c:v>
                </c:pt>
                <c:pt idx="151">
                  <c:v>63.051724137931032</c:v>
                </c:pt>
                <c:pt idx="152">
                  <c:v>63.051724137931032</c:v>
                </c:pt>
                <c:pt idx="153">
                  <c:v>63.051724137931032</c:v>
                </c:pt>
                <c:pt idx="154">
                  <c:v>63.051724137931032</c:v>
                </c:pt>
                <c:pt idx="155">
                  <c:v>63.051724137931032</c:v>
                </c:pt>
                <c:pt idx="156">
                  <c:v>63.051724137931032</c:v>
                </c:pt>
                <c:pt idx="157">
                  <c:v>63.051724137931032</c:v>
                </c:pt>
                <c:pt idx="158">
                  <c:v>63.051724137931032</c:v>
                </c:pt>
                <c:pt idx="159">
                  <c:v>63.051724137931032</c:v>
                </c:pt>
                <c:pt idx="160">
                  <c:v>63.051724137931032</c:v>
                </c:pt>
                <c:pt idx="161">
                  <c:v>63.051724137931032</c:v>
                </c:pt>
                <c:pt idx="162">
                  <c:v>63.051724137931032</c:v>
                </c:pt>
                <c:pt idx="163">
                  <c:v>63.051724137931032</c:v>
                </c:pt>
                <c:pt idx="164">
                  <c:v>63.051724137931032</c:v>
                </c:pt>
                <c:pt idx="165">
                  <c:v>63.051724137931032</c:v>
                </c:pt>
                <c:pt idx="166">
                  <c:v>63.051724137931032</c:v>
                </c:pt>
                <c:pt idx="167">
                  <c:v>63.051724137931032</c:v>
                </c:pt>
                <c:pt idx="168">
                  <c:v>63.051724137931032</c:v>
                </c:pt>
                <c:pt idx="169">
                  <c:v>63.051724137931032</c:v>
                </c:pt>
                <c:pt idx="170">
                  <c:v>63.051724137931032</c:v>
                </c:pt>
                <c:pt idx="171">
                  <c:v>63.051724137931032</c:v>
                </c:pt>
                <c:pt idx="172">
                  <c:v>63.051724137931032</c:v>
                </c:pt>
                <c:pt idx="173">
                  <c:v>63.051724137931032</c:v>
                </c:pt>
                <c:pt idx="174">
                  <c:v>63.051724137931032</c:v>
                </c:pt>
                <c:pt idx="175">
                  <c:v>63.051724137931032</c:v>
                </c:pt>
                <c:pt idx="176">
                  <c:v>63.051724137931032</c:v>
                </c:pt>
                <c:pt idx="177">
                  <c:v>63.051724137931032</c:v>
                </c:pt>
                <c:pt idx="178">
                  <c:v>63.051724137931032</c:v>
                </c:pt>
                <c:pt idx="179">
                  <c:v>63.051724137931032</c:v>
                </c:pt>
                <c:pt idx="180">
                  <c:v>63.051724137931032</c:v>
                </c:pt>
                <c:pt idx="181">
                  <c:v>63.051724137931032</c:v>
                </c:pt>
                <c:pt idx="182">
                  <c:v>63.051724137931032</c:v>
                </c:pt>
                <c:pt idx="183">
                  <c:v>63.051724137931032</c:v>
                </c:pt>
                <c:pt idx="184">
                  <c:v>62.017241379310342</c:v>
                </c:pt>
                <c:pt idx="185">
                  <c:v>62.017241379310342</c:v>
                </c:pt>
                <c:pt idx="186">
                  <c:v>62.017241379310342</c:v>
                </c:pt>
                <c:pt idx="187">
                  <c:v>62.017241379310342</c:v>
                </c:pt>
                <c:pt idx="188">
                  <c:v>62.017241379310342</c:v>
                </c:pt>
                <c:pt idx="189">
                  <c:v>62.017241379310342</c:v>
                </c:pt>
                <c:pt idx="190">
                  <c:v>62.017241379310342</c:v>
                </c:pt>
                <c:pt idx="191">
                  <c:v>62.017241379310342</c:v>
                </c:pt>
                <c:pt idx="192">
                  <c:v>62.017241379310342</c:v>
                </c:pt>
                <c:pt idx="193">
                  <c:v>62.017241379310342</c:v>
                </c:pt>
                <c:pt idx="194">
                  <c:v>62.017241379310342</c:v>
                </c:pt>
                <c:pt idx="195">
                  <c:v>62.017241379310342</c:v>
                </c:pt>
                <c:pt idx="196">
                  <c:v>62.017241379310342</c:v>
                </c:pt>
                <c:pt idx="197">
                  <c:v>62.017241379310342</c:v>
                </c:pt>
                <c:pt idx="198">
                  <c:v>62.017241379310342</c:v>
                </c:pt>
                <c:pt idx="199">
                  <c:v>62.017241379310342</c:v>
                </c:pt>
                <c:pt idx="200">
                  <c:v>62.017241379310342</c:v>
                </c:pt>
                <c:pt idx="201">
                  <c:v>62.017241379310342</c:v>
                </c:pt>
                <c:pt idx="202">
                  <c:v>62.017241379310342</c:v>
                </c:pt>
                <c:pt idx="203">
                  <c:v>62.017241379310342</c:v>
                </c:pt>
                <c:pt idx="204">
                  <c:v>62.017241379310342</c:v>
                </c:pt>
                <c:pt idx="205">
                  <c:v>62.017241379310342</c:v>
                </c:pt>
                <c:pt idx="206">
                  <c:v>62.017241379310342</c:v>
                </c:pt>
                <c:pt idx="207">
                  <c:v>62.017241379310342</c:v>
                </c:pt>
                <c:pt idx="208">
                  <c:v>62.017241379310342</c:v>
                </c:pt>
                <c:pt idx="209">
                  <c:v>62.017241379310342</c:v>
                </c:pt>
                <c:pt idx="210">
                  <c:v>62.017241379310342</c:v>
                </c:pt>
                <c:pt idx="211">
                  <c:v>62.017241379310342</c:v>
                </c:pt>
                <c:pt idx="212">
                  <c:v>62.017241379310342</c:v>
                </c:pt>
                <c:pt idx="213">
                  <c:v>62.017241379310342</c:v>
                </c:pt>
                <c:pt idx="214">
                  <c:v>62.017241379310342</c:v>
                </c:pt>
                <c:pt idx="215">
                  <c:v>62.017241379310342</c:v>
                </c:pt>
                <c:pt idx="216">
                  <c:v>62.017241379310342</c:v>
                </c:pt>
                <c:pt idx="217">
                  <c:v>62.017241379310342</c:v>
                </c:pt>
                <c:pt idx="218">
                  <c:v>62.017241379310342</c:v>
                </c:pt>
                <c:pt idx="219">
                  <c:v>62.017241379310342</c:v>
                </c:pt>
                <c:pt idx="220">
                  <c:v>62.017241379310342</c:v>
                </c:pt>
                <c:pt idx="221">
                  <c:v>62.017241379310342</c:v>
                </c:pt>
                <c:pt idx="222">
                  <c:v>62.017241379310342</c:v>
                </c:pt>
                <c:pt idx="223">
                  <c:v>62.017241379310342</c:v>
                </c:pt>
                <c:pt idx="224">
                  <c:v>62.017241379310342</c:v>
                </c:pt>
                <c:pt idx="225">
                  <c:v>62.017241379310342</c:v>
                </c:pt>
                <c:pt idx="226">
                  <c:v>62.017241379310342</c:v>
                </c:pt>
                <c:pt idx="227">
                  <c:v>62.017241379310342</c:v>
                </c:pt>
                <c:pt idx="228">
                  <c:v>62.017241379310342</c:v>
                </c:pt>
                <c:pt idx="229">
                  <c:v>62.017241379310342</c:v>
                </c:pt>
                <c:pt idx="230">
                  <c:v>62.017241379310342</c:v>
                </c:pt>
                <c:pt idx="231">
                  <c:v>62.017241379310342</c:v>
                </c:pt>
                <c:pt idx="232">
                  <c:v>62.017241379310342</c:v>
                </c:pt>
                <c:pt idx="233">
                  <c:v>62.017241379310342</c:v>
                </c:pt>
                <c:pt idx="234">
                  <c:v>62.017241379310342</c:v>
                </c:pt>
                <c:pt idx="235">
                  <c:v>62.017241379310342</c:v>
                </c:pt>
                <c:pt idx="236">
                  <c:v>62.017241379310342</c:v>
                </c:pt>
                <c:pt idx="237">
                  <c:v>62.017241379310342</c:v>
                </c:pt>
                <c:pt idx="238">
                  <c:v>62.017241379310342</c:v>
                </c:pt>
                <c:pt idx="239">
                  <c:v>62.017241379310342</c:v>
                </c:pt>
                <c:pt idx="240">
                  <c:v>62.017241379310342</c:v>
                </c:pt>
                <c:pt idx="241">
                  <c:v>62.017241379310342</c:v>
                </c:pt>
                <c:pt idx="242">
                  <c:v>62.017241379310342</c:v>
                </c:pt>
                <c:pt idx="243">
                  <c:v>62.017241379310342</c:v>
                </c:pt>
                <c:pt idx="244">
                  <c:v>62.017241379310342</c:v>
                </c:pt>
                <c:pt idx="245">
                  <c:v>62.017241379310342</c:v>
                </c:pt>
                <c:pt idx="246">
                  <c:v>62.017241379310342</c:v>
                </c:pt>
                <c:pt idx="247">
                  <c:v>62.017241379310342</c:v>
                </c:pt>
                <c:pt idx="248">
                  <c:v>62.017241379310342</c:v>
                </c:pt>
                <c:pt idx="249">
                  <c:v>62.017241379310342</c:v>
                </c:pt>
                <c:pt idx="250">
                  <c:v>62.017241379310342</c:v>
                </c:pt>
                <c:pt idx="251">
                  <c:v>62.017241379310342</c:v>
                </c:pt>
                <c:pt idx="252">
                  <c:v>62.017241379310342</c:v>
                </c:pt>
                <c:pt idx="253">
                  <c:v>62.017241379310342</c:v>
                </c:pt>
                <c:pt idx="254">
                  <c:v>62.017241379310342</c:v>
                </c:pt>
                <c:pt idx="255">
                  <c:v>62.017241379310342</c:v>
                </c:pt>
                <c:pt idx="256">
                  <c:v>62.017241379310342</c:v>
                </c:pt>
                <c:pt idx="257">
                  <c:v>62.017241379310342</c:v>
                </c:pt>
                <c:pt idx="258">
                  <c:v>62.017241379310342</c:v>
                </c:pt>
                <c:pt idx="259">
                  <c:v>62.017241379310342</c:v>
                </c:pt>
                <c:pt idx="260">
                  <c:v>62.017241379310342</c:v>
                </c:pt>
                <c:pt idx="261">
                  <c:v>62.017241379310342</c:v>
                </c:pt>
                <c:pt idx="262">
                  <c:v>62.017241379310342</c:v>
                </c:pt>
                <c:pt idx="263">
                  <c:v>62.017241379310342</c:v>
                </c:pt>
                <c:pt idx="264">
                  <c:v>62.017241379310342</c:v>
                </c:pt>
                <c:pt idx="265">
                  <c:v>62.017241379310342</c:v>
                </c:pt>
                <c:pt idx="266">
                  <c:v>62.017241379310342</c:v>
                </c:pt>
                <c:pt idx="267">
                  <c:v>62.017241379310342</c:v>
                </c:pt>
                <c:pt idx="268">
                  <c:v>62.017241379310342</c:v>
                </c:pt>
                <c:pt idx="269">
                  <c:v>62.017241379310342</c:v>
                </c:pt>
                <c:pt idx="270">
                  <c:v>62.017241379310342</c:v>
                </c:pt>
                <c:pt idx="271">
                  <c:v>62.017241379310342</c:v>
                </c:pt>
                <c:pt idx="272">
                  <c:v>62.017241379310342</c:v>
                </c:pt>
                <c:pt idx="273">
                  <c:v>62.017241379310342</c:v>
                </c:pt>
                <c:pt idx="274">
                  <c:v>62.017241379310342</c:v>
                </c:pt>
                <c:pt idx="275">
                  <c:v>62.017241379310342</c:v>
                </c:pt>
                <c:pt idx="276">
                  <c:v>62.017241379310342</c:v>
                </c:pt>
                <c:pt idx="277">
                  <c:v>62.017241379310342</c:v>
                </c:pt>
                <c:pt idx="278">
                  <c:v>62.017241379310342</c:v>
                </c:pt>
                <c:pt idx="279">
                  <c:v>62.017241379310342</c:v>
                </c:pt>
                <c:pt idx="280">
                  <c:v>62.017241379310342</c:v>
                </c:pt>
                <c:pt idx="281">
                  <c:v>62.017241379310342</c:v>
                </c:pt>
                <c:pt idx="282">
                  <c:v>62.017241379310342</c:v>
                </c:pt>
                <c:pt idx="283">
                  <c:v>62.017241379310342</c:v>
                </c:pt>
                <c:pt idx="284">
                  <c:v>62.017241379310342</c:v>
                </c:pt>
                <c:pt idx="285">
                  <c:v>62.017241379310342</c:v>
                </c:pt>
                <c:pt idx="286">
                  <c:v>62.017241379310342</c:v>
                </c:pt>
                <c:pt idx="287">
                  <c:v>62.017241379310342</c:v>
                </c:pt>
                <c:pt idx="288">
                  <c:v>62.017241379310342</c:v>
                </c:pt>
                <c:pt idx="289">
                  <c:v>62.017241379310342</c:v>
                </c:pt>
                <c:pt idx="290">
                  <c:v>62.017241379310342</c:v>
                </c:pt>
                <c:pt idx="291">
                  <c:v>62.017241379310342</c:v>
                </c:pt>
                <c:pt idx="292">
                  <c:v>62.017241379310342</c:v>
                </c:pt>
                <c:pt idx="293">
                  <c:v>62.017241379310342</c:v>
                </c:pt>
                <c:pt idx="294">
                  <c:v>62.017241379310342</c:v>
                </c:pt>
                <c:pt idx="295">
                  <c:v>62.017241379310342</c:v>
                </c:pt>
                <c:pt idx="296">
                  <c:v>62.017241379310342</c:v>
                </c:pt>
                <c:pt idx="297">
                  <c:v>62.017241379310342</c:v>
                </c:pt>
                <c:pt idx="298">
                  <c:v>62.017241379310342</c:v>
                </c:pt>
                <c:pt idx="299">
                  <c:v>62.017241379310342</c:v>
                </c:pt>
                <c:pt idx="300">
                  <c:v>62.017241379310342</c:v>
                </c:pt>
                <c:pt idx="301">
                  <c:v>62.017241379310342</c:v>
                </c:pt>
                <c:pt idx="302">
                  <c:v>62.017241379310342</c:v>
                </c:pt>
                <c:pt idx="303">
                  <c:v>62.017241379310342</c:v>
                </c:pt>
                <c:pt idx="304">
                  <c:v>62.017241379310342</c:v>
                </c:pt>
                <c:pt idx="305">
                  <c:v>62.017241379310342</c:v>
                </c:pt>
                <c:pt idx="306">
                  <c:v>62.017241379310342</c:v>
                </c:pt>
                <c:pt idx="307">
                  <c:v>62.017241379310342</c:v>
                </c:pt>
                <c:pt idx="308">
                  <c:v>62.017241379310342</c:v>
                </c:pt>
                <c:pt idx="309">
                  <c:v>62.017241379310342</c:v>
                </c:pt>
                <c:pt idx="310">
                  <c:v>62.017241379310342</c:v>
                </c:pt>
                <c:pt idx="311">
                  <c:v>62.017241379310342</c:v>
                </c:pt>
                <c:pt idx="312">
                  <c:v>62.017241379310342</c:v>
                </c:pt>
                <c:pt idx="313">
                  <c:v>62.017241379310342</c:v>
                </c:pt>
                <c:pt idx="314">
                  <c:v>62.017241379310342</c:v>
                </c:pt>
                <c:pt idx="315">
                  <c:v>62.017241379310342</c:v>
                </c:pt>
                <c:pt idx="316">
                  <c:v>62.017241379310342</c:v>
                </c:pt>
                <c:pt idx="317">
                  <c:v>62.017241379310342</c:v>
                </c:pt>
                <c:pt idx="318">
                  <c:v>62.017241379310342</c:v>
                </c:pt>
                <c:pt idx="319">
                  <c:v>62.017241379310342</c:v>
                </c:pt>
                <c:pt idx="320">
                  <c:v>62.017241379310342</c:v>
                </c:pt>
                <c:pt idx="321">
                  <c:v>62.017241379310342</c:v>
                </c:pt>
                <c:pt idx="322">
                  <c:v>62.017241379310342</c:v>
                </c:pt>
                <c:pt idx="323">
                  <c:v>62.017241379310342</c:v>
                </c:pt>
                <c:pt idx="324">
                  <c:v>62.017241379310342</c:v>
                </c:pt>
                <c:pt idx="325">
                  <c:v>62.017241379310342</c:v>
                </c:pt>
                <c:pt idx="326">
                  <c:v>62.017241379310342</c:v>
                </c:pt>
                <c:pt idx="327">
                  <c:v>62.017241379310342</c:v>
                </c:pt>
                <c:pt idx="328">
                  <c:v>62.017241379310342</c:v>
                </c:pt>
                <c:pt idx="329">
                  <c:v>62.017241379310342</c:v>
                </c:pt>
                <c:pt idx="330">
                  <c:v>62.017241379310342</c:v>
                </c:pt>
                <c:pt idx="331">
                  <c:v>62.017241379310342</c:v>
                </c:pt>
                <c:pt idx="332">
                  <c:v>62.017241379310342</c:v>
                </c:pt>
                <c:pt idx="333">
                  <c:v>62.017241379310342</c:v>
                </c:pt>
                <c:pt idx="334">
                  <c:v>62.017241379310342</c:v>
                </c:pt>
                <c:pt idx="335">
                  <c:v>62.017241379310342</c:v>
                </c:pt>
                <c:pt idx="336">
                  <c:v>62.017241379310342</c:v>
                </c:pt>
                <c:pt idx="337">
                  <c:v>62.017241379310342</c:v>
                </c:pt>
                <c:pt idx="338">
                  <c:v>62.017241379310342</c:v>
                </c:pt>
                <c:pt idx="339">
                  <c:v>62.017241379310342</c:v>
                </c:pt>
                <c:pt idx="340">
                  <c:v>62.017241379310342</c:v>
                </c:pt>
                <c:pt idx="341">
                  <c:v>62.017241379310342</c:v>
                </c:pt>
                <c:pt idx="342">
                  <c:v>62.017241379310342</c:v>
                </c:pt>
                <c:pt idx="343">
                  <c:v>62.017241379310342</c:v>
                </c:pt>
                <c:pt idx="344">
                  <c:v>62.017241379310342</c:v>
                </c:pt>
                <c:pt idx="345">
                  <c:v>62.017241379310342</c:v>
                </c:pt>
                <c:pt idx="346">
                  <c:v>62.017241379310342</c:v>
                </c:pt>
                <c:pt idx="347">
                  <c:v>62.017241379310342</c:v>
                </c:pt>
                <c:pt idx="348">
                  <c:v>62.017241379310342</c:v>
                </c:pt>
                <c:pt idx="349">
                  <c:v>62.017241379310342</c:v>
                </c:pt>
                <c:pt idx="350">
                  <c:v>62.017241379310342</c:v>
                </c:pt>
                <c:pt idx="351">
                  <c:v>62.017241379310342</c:v>
                </c:pt>
                <c:pt idx="352">
                  <c:v>62.017241379310342</c:v>
                </c:pt>
                <c:pt idx="353">
                  <c:v>62.017241379310342</c:v>
                </c:pt>
                <c:pt idx="354">
                  <c:v>62.017241379310342</c:v>
                </c:pt>
                <c:pt idx="355">
                  <c:v>62.017241379310342</c:v>
                </c:pt>
                <c:pt idx="356">
                  <c:v>62.017241379310342</c:v>
                </c:pt>
                <c:pt idx="357">
                  <c:v>62.017241379310342</c:v>
                </c:pt>
                <c:pt idx="358">
                  <c:v>62.017241379310342</c:v>
                </c:pt>
                <c:pt idx="359">
                  <c:v>62.017241379310342</c:v>
                </c:pt>
                <c:pt idx="360">
                  <c:v>62.017241379310342</c:v>
                </c:pt>
                <c:pt idx="361">
                  <c:v>62.017241379310342</c:v>
                </c:pt>
                <c:pt idx="362">
                  <c:v>62.017241379310342</c:v>
                </c:pt>
                <c:pt idx="363">
                  <c:v>62.017241379310342</c:v>
                </c:pt>
                <c:pt idx="364">
                  <c:v>62.017241379310342</c:v>
                </c:pt>
              </c:numCache>
            </c:numRef>
          </c:val>
          <c:extLst>
            <c:ext xmlns:c16="http://schemas.microsoft.com/office/drawing/2014/chart" uri="{C3380CC4-5D6E-409C-BE32-E72D297353CC}">
              <c16:uniqueId val="{00000001-6E3A-471F-9D6F-40CCA298E89C}"/>
            </c:ext>
          </c:extLst>
        </c:ser>
        <c:dLbls>
          <c:showLegendKey val="0"/>
          <c:showVal val="0"/>
          <c:showCatName val="0"/>
          <c:showSerName val="0"/>
          <c:showPercent val="0"/>
          <c:showBubbleSize val="0"/>
        </c:dLbls>
        <c:gapWidth val="150"/>
        <c:overlap val="100"/>
        <c:axId val="470303567"/>
        <c:axId val="1"/>
      </c:barChart>
      <c:lineChart>
        <c:grouping val="standard"/>
        <c:varyColors val="0"/>
        <c:ser>
          <c:idx val="2"/>
          <c:order val="1"/>
          <c:tx>
            <c:strRef>
              <c:f>'5. Historical demand'!$E$40:$E$41</c:f>
              <c:strCache>
                <c:ptCount val="2"/>
                <c:pt idx="0">
                  <c:v>Utilised capacity</c:v>
                </c:pt>
                <c:pt idx="1">
                  <c:v>TJ/day</c:v>
                </c:pt>
              </c:strCache>
            </c:strRef>
          </c:tx>
          <c:spPr>
            <a:ln>
              <a:solidFill>
                <a:srgbClr val="2B7AAF"/>
              </a:solidFill>
            </a:ln>
          </c:spPr>
          <c:marker>
            <c:symbol val="none"/>
          </c:marker>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demand'!$E$43:$E$408</c:f>
              <c:numCache>
                <c:formatCode>_(* #,##0_);_(* \(#,##0\);_(* "-"_);_(@_)</c:formatCode>
                <c:ptCount val="366"/>
                <c:pt idx="0">
                  <c:v>117.1216551724138</c:v>
                </c:pt>
                <c:pt idx="1">
                  <c:v>110.33937931034484</c:v>
                </c:pt>
                <c:pt idx="2">
                  <c:v>82.308241379310346</c:v>
                </c:pt>
                <c:pt idx="3">
                  <c:v>77.433758620689645</c:v>
                </c:pt>
                <c:pt idx="4">
                  <c:v>59.406862068965516</c:v>
                </c:pt>
                <c:pt idx="5">
                  <c:v>55.305620689655171</c:v>
                </c:pt>
                <c:pt idx="6">
                  <c:v>71.57103448275862</c:v>
                </c:pt>
                <c:pt idx="7">
                  <c:v>131.08589655172415</c:v>
                </c:pt>
                <c:pt idx="8">
                  <c:v>149.09437931034486</c:v>
                </c:pt>
                <c:pt idx="9">
                  <c:v>83.17041379310345</c:v>
                </c:pt>
                <c:pt idx="10">
                  <c:v>115.77631034482758</c:v>
                </c:pt>
                <c:pt idx="11">
                  <c:v>114.26737931034484</c:v>
                </c:pt>
                <c:pt idx="12">
                  <c:v>85.946586206896555</c:v>
                </c:pt>
                <c:pt idx="13">
                  <c:v>81.326827586206889</c:v>
                </c:pt>
                <c:pt idx="14">
                  <c:v>96.376620689655169</c:v>
                </c:pt>
                <c:pt idx="15">
                  <c:v>87.312724137931042</c:v>
                </c:pt>
                <c:pt idx="16">
                  <c:v>90.984000000000009</c:v>
                </c:pt>
                <c:pt idx="17">
                  <c:v>82.924000000000007</c:v>
                </c:pt>
                <c:pt idx="18">
                  <c:v>80.5161724137931</c:v>
                </c:pt>
                <c:pt idx="19">
                  <c:v>83.900655172413806</c:v>
                </c:pt>
                <c:pt idx="20">
                  <c:v>91.688758620689669</c:v>
                </c:pt>
                <c:pt idx="21">
                  <c:v>67.455172413793093</c:v>
                </c:pt>
                <c:pt idx="22">
                  <c:v>76.621965517241378</c:v>
                </c:pt>
                <c:pt idx="23">
                  <c:v>65.576344827586212</c:v>
                </c:pt>
                <c:pt idx="24">
                  <c:v>75.383758620689662</c:v>
                </c:pt>
                <c:pt idx="25">
                  <c:v>70.939793103448281</c:v>
                </c:pt>
                <c:pt idx="26">
                  <c:v>95.642827586206906</c:v>
                </c:pt>
                <c:pt idx="27">
                  <c:v>100.07155172413793</c:v>
                </c:pt>
                <c:pt idx="28">
                  <c:v>106.56100000000001</c:v>
                </c:pt>
                <c:pt idx="29">
                  <c:v>116.14462068965517</c:v>
                </c:pt>
                <c:pt idx="30">
                  <c:v>100.97948275862069</c:v>
                </c:pt>
                <c:pt idx="31">
                  <c:v>73.334827586206899</c:v>
                </c:pt>
                <c:pt idx="32">
                  <c:v>101.66424137931034</c:v>
                </c:pt>
                <c:pt idx="33">
                  <c:v>113.26934482758621</c:v>
                </c:pt>
                <c:pt idx="34">
                  <c:v>108.41224137931036</c:v>
                </c:pt>
                <c:pt idx="35">
                  <c:v>122.97986206896553</c:v>
                </c:pt>
                <c:pt idx="36">
                  <c:v>104.31903448275861</c:v>
                </c:pt>
                <c:pt idx="37">
                  <c:v>82.708172413793108</c:v>
                </c:pt>
                <c:pt idx="38">
                  <c:v>81.686034482758629</c:v>
                </c:pt>
                <c:pt idx="39">
                  <c:v>135.71306896551727</c:v>
                </c:pt>
                <c:pt idx="40">
                  <c:v>100.36827586206897</c:v>
                </c:pt>
                <c:pt idx="41">
                  <c:v>84.581862068965506</c:v>
                </c:pt>
                <c:pt idx="42">
                  <c:v>77.169275862068957</c:v>
                </c:pt>
                <c:pt idx="43">
                  <c:v>64.471931034482751</c:v>
                </c:pt>
                <c:pt idx="44">
                  <c:v>81.301827586206898</c:v>
                </c:pt>
                <c:pt idx="45">
                  <c:v>63.593896551724143</c:v>
                </c:pt>
                <c:pt idx="46">
                  <c:v>73.206344827586207</c:v>
                </c:pt>
                <c:pt idx="47">
                  <c:v>82.229517241379313</c:v>
                </c:pt>
                <c:pt idx="48">
                  <c:v>102.1756551724138</c:v>
                </c:pt>
                <c:pt idx="49">
                  <c:v>79.465724137931034</c:v>
                </c:pt>
                <c:pt idx="50">
                  <c:v>75.998413793103452</c:v>
                </c:pt>
                <c:pt idx="51">
                  <c:v>86.717965517241382</c:v>
                </c:pt>
                <c:pt idx="52">
                  <c:v>84.026103448275862</c:v>
                </c:pt>
                <c:pt idx="53">
                  <c:v>72.387275862068961</c:v>
                </c:pt>
                <c:pt idx="54">
                  <c:v>69.844965517241377</c:v>
                </c:pt>
                <c:pt idx="55">
                  <c:v>71.218241379310342</c:v>
                </c:pt>
                <c:pt idx="56">
                  <c:v>66.40106896551724</c:v>
                </c:pt>
                <c:pt idx="57">
                  <c:v>69.698103448275873</c:v>
                </c:pt>
                <c:pt idx="58">
                  <c:v>70.670931034482763</c:v>
                </c:pt>
                <c:pt idx="59">
                  <c:v>87.666793103448271</c:v>
                </c:pt>
                <c:pt idx="60">
                  <c:v>72.542862068965519</c:v>
                </c:pt>
                <c:pt idx="61">
                  <c:v>75.502655172413796</c:v>
                </c:pt>
                <c:pt idx="62">
                  <c:v>84.482379310344811</c:v>
                </c:pt>
                <c:pt idx="63">
                  <c:v>92.757896551724144</c:v>
                </c:pt>
                <c:pt idx="64">
                  <c:v>89.523586206896553</c:v>
                </c:pt>
                <c:pt idx="65">
                  <c:v>74.111586206896561</c:v>
                </c:pt>
                <c:pt idx="66">
                  <c:v>68.293655172413793</c:v>
                </c:pt>
                <c:pt idx="67">
                  <c:v>71.705172413793093</c:v>
                </c:pt>
                <c:pt idx="68">
                  <c:v>83.714068965517242</c:v>
                </c:pt>
                <c:pt idx="69">
                  <c:v>86.533137931034489</c:v>
                </c:pt>
                <c:pt idx="70">
                  <c:v>93.252206896551726</c:v>
                </c:pt>
                <c:pt idx="71">
                  <c:v>84.033068965517245</c:v>
                </c:pt>
                <c:pt idx="72">
                  <c:v>83.361103448275855</c:v>
                </c:pt>
                <c:pt idx="73">
                  <c:v>76.125793103448274</c:v>
                </c:pt>
                <c:pt idx="74">
                  <c:v>81.460689655172416</c:v>
                </c:pt>
                <c:pt idx="75">
                  <c:v>84.341965517241377</c:v>
                </c:pt>
                <c:pt idx="76">
                  <c:v>69.675724137931041</c:v>
                </c:pt>
                <c:pt idx="77">
                  <c:v>78.642344827586214</c:v>
                </c:pt>
                <c:pt idx="78">
                  <c:v>86.679724137931032</c:v>
                </c:pt>
                <c:pt idx="79">
                  <c:v>78.622655172413786</c:v>
                </c:pt>
                <c:pt idx="80">
                  <c:v>68.747034482758636</c:v>
                </c:pt>
                <c:pt idx="81">
                  <c:v>84.348620689655178</c:v>
                </c:pt>
                <c:pt idx="82">
                  <c:v>79.036206896551732</c:v>
                </c:pt>
                <c:pt idx="83">
                  <c:v>100.23806896551724</c:v>
                </c:pt>
                <c:pt idx="84">
                  <c:v>98.206000000000017</c:v>
                </c:pt>
                <c:pt idx="85">
                  <c:v>99.929103448275868</c:v>
                </c:pt>
                <c:pt idx="86">
                  <c:v>90.272965517241374</c:v>
                </c:pt>
                <c:pt idx="87">
                  <c:v>79.431862068965501</c:v>
                </c:pt>
                <c:pt idx="88">
                  <c:v>87.224724137931034</c:v>
                </c:pt>
                <c:pt idx="89">
                  <c:v>89.404931034482772</c:v>
                </c:pt>
                <c:pt idx="90">
                  <c:v>82.408310344827584</c:v>
                </c:pt>
                <c:pt idx="91">
                  <c:v>85.240965517241392</c:v>
                </c:pt>
                <c:pt idx="92">
                  <c:v>77.683103448275858</c:v>
                </c:pt>
                <c:pt idx="93">
                  <c:v>72.843379310344829</c:v>
                </c:pt>
                <c:pt idx="94">
                  <c:v>85.626448275862074</c:v>
                </c:pt>
                <c:pt idx="95">
                  <c:v>87.740620689655174</c:v>
                </c:pt>
                <c:pt idx="96">
                  <c:v>79.28706896551725</c:v>
                </c:pt>
                <c:pt idx="97">
                  <c:v>65.863862068965517</c:v>
                </c:pt>
                <c:pt idx="98">
                  <c:v>84.086999999999989</c:v>
                </c:pt>
                <c:pt idx="99">
                  <c:v>80.531137931034493</c:v>
                </c:pt>
                <c:pt idx="100">
                  <c:v>86.021689655172423</c:v>
                </c:pt>
                <c:pt idx="101">
                  <c:v>82.541172413793106</c:v>
                </c:pt>
                <c:pt idx="102">
                  <c:v>71.189482758620699</c:v>
                </c:pt>
                <c:pt idx="103">
                  <c:v>64.733137931034477</c:v>
                </c:pt>
                <c:pt idx="104">
                  <c:v>84.186413793103455</c:v>
                </c:pt>
                <c:pt idx="105">
                  <c:v>95.772724137931036</c:v>
                </c:pt>
                <c:pt idx="106">
                  <c:v>82.875931034482761</c:v>
                </c:pt>
                <c:pt idx="107">
                  <c:v>88.960724137931038</c:v>
                </c:pt>
                <c:pt idx="108">
                  <c:v>63.719620689655166</c:v>
                </c:pt>
                <c:pt idx="109">
                  <c:v>76.666689655172405</c:v>
                </c:pt>
                <c:pt idx="110">
                  <c:v>74.919344827586215</c:v>
                </c:pt>
                <c:pt idx="111">
                  <c:v>68.333827586206894</c:v>
                </c:pt>
                <c:pt idx="112">
                  <c:v>79.647068965517235</c:v>
                </c:pt>
                <c:pt idx="113">
                  <c:v>83.531931034482753</c:v>
                </c:pt>
                <c:pt idx="114">
                  <c:v>81.565344827586216</c:v>
                </c:pt>
                <c:pt idx="115">
                  <c:v>84.461172413793093</c:v>
                </c:pt>
                <c:pt idx="116">
                  <c:v>86.267413793103444</c:v>
                </c:pt>
                <c:pt idx="117">
                  <c:v>78.295310344827584</c:v>
                </c:pt>
                <c:pt idx="118">
                  <c:v>86.02417241379311</c:v>
                </c:pt>
                <c:pt idx="119">
                  <c:v>87.530827586206897</c:v>
                </c:pt>
                <c:pt idx="120">
                  <c:v>91.188482758620694</c:v>
                </c:pt>
                <c:pt idx="121">
                  <c:v>71.288965517241394</c:v>
                </c:pt>
                <c:pt idx="122">
                  <c:v>72.993517241379323</c:v>
                </c:pt>
                <c:pt idx="123">
                  <c:v>73.724413793103452</c:v>
                </c:pt>
                <c:pt idx="124">
                  <c:v>74.146034482758608</c:v>
                </c:pt>
                <c:pt idx="125">
                  <c:v>91.320965517241376</c:v>
                </c:pt>
                <c:pt idx="126">
                  <c:v>96.731275862068969</c:v>
                </c:pt>
                <c:pt idx="127">
                  <c:v>92.097999999999999</c:v>
                </c:pt>
                <c:pt idx="128">
                  <c:v>85.908034482758637</c:v>
                </c:pt>
                <c:pt idx="129">
                  <c:v>79.074448275862068</c:v>
                </c:pt>
                <c:pt idx="130">
                  <c:v>83.652655172413802</c:v>
                </c:pt>
                <c:pt idx="131">
                  <c:v>86.10955172413793</c:v>
                </c:pt>
                <c:pt idx="132">
                  <c:v>69.508379310344822</c:v>
                </c:pt>
                <c:pt idx="133">
                  <c:v>89.971724137931034</c:v>
                </c:pt>
                <c:pt idx="134">
                  <c:v>83.891241379310344</c:v>
                </c:pt>
                <c:pt idx="135">
                  <c:v>75.754655172413791</c:v>
                </c:pt>
                <c:pt idx="136">
                  <c:v>66.628482758620692</c:v>
                </c:pt>
                <c:pt idx="137">
                  <c:v>67.983551724137925</c:v>
                </c:pt>
                <c:pt idx="138">
                  <c:v>73.595586206896556</c:v>
                </c:pt>
                <c:pt idx="139">
                  <c:v>75.618896551724134</c:v>
                </c:pt>
                <c:pt idx="140">
                  <c:v>73.209896551724128</c:v>
                </c:pt>
                <c:pt idx="141">
                  <c:v>82.346448275862059</c:v>
                </c:pt>
                <c:pt idx="142">
                  <c:v>72.450551724137938</c:v>
                </c:pt>
                <c:pt idx="143">
                  <c:v>82.628172413793109</c:v>
                </c:pt>
                <c:pt idx="144">
                  <c:v>96.092448275862068</c:v>
                </c:pt>
                <c:pt idx="145">
                  <c:v>94.29224137931034</c:v>
                </c:pt>
                <c:pt idx="146">
                  <c:v>103.70589655172414</c:v>
                </c:pt>
                <c:pt idx="147">
                  <c:v>122.15979310344827</c:v>
                </c:pt>
                <c:pt idx="148">
                  <c:v>131.16079310344827</c:v>
                </c:pt>
                <c:pt idx="149">
                  <c:v>91.17024137931034</c:v>
                </c:pt>
                <c:pt idx="150">
                  <c:v>84.072172413793112</c:v>
                </c:pt>
                <c:pt idx="151">
                  <c:v>77.009758620689652</c:v>
                </c:pt>
                <c:pt idx="152">
                  <c:v>78.188931034482763</c:v>
                </c:pt>
                <c:pt idx="153">
                  <c:v>92.849172413793099</c:v>
                </c:pt>
                <c:pt idx="154">
                  <c:v>97.338482758620685</c:v>
                </c:pt>
                <c:pt idx="155">
                  <c:v>88.930517241379306</c:v>
                </c:pt>
                <c:pt idx="156">
                  <c:v>81.967275862068959</c:v>
                </c:pt>
                <c:pt idx="157">
                  <c:v>102.24717241379309</c:v>
                </c:pt>
                <c:pt idx="158">
                  <c:v>94.766034482758627</c:v>
                </c:pt>
                <c:pt idx="159">
                  <c:v>66.0226896551724</c:v>
                </c:pt>
                <c:pt idx="160">
                  <c:v>48.769862068965523</c:v>
                </c:pt>
                <c:pt idx="161">
                  <c:v>67.525310344827588</c:v>
                </c:pt>
                <c:pt idx="162">
                  <c:v>86.223275862068959</c:v>
                </c:pt>
                <c:pt idx="163">
                  <c:v>79.118000000000009</c:v>
                </c:pt>
                <c:pt idx="164">
                  <c:v>96.202206896551715</c:v>
                </c:pt>
                <c:pt idx="165">
                  <c:v>96.357965517241368</c:v>
                </c:pt>
                <c:pt idx="166">
                  <c:v>93.764103448275861</c:v>
                </c:pt>
                <c:pt idx="167">
                  <c:v>108.21086206896551</c:v>
                </c:pt>
                <c:pt idx="168">
                  <c:v>84.610137931034487</c:v>
                </c:pt>
                <c:pt idx="169">
                  <c:v>70.765586206896558</c:v>
                </c:pt>
                <c:pt idx="170">
                  <c:v>91.574517241379311</c:v>
                </c:pt>
                <c:pt idx="171">
                  <c:v>76.883689655172418</c:v>
                </c:pt>
                <c:pt idx="172">
                  <c:v>70.344137931034481</c:v>
                </c:pt>
                <c:pt idx="173">
                  <c:v>77.607758620689651</c:v>
                </c:pt>
                <c:pt idx="174">
                  <c:v>67.602068965517248</c:v>
                </c:pt>
                <c:pt idx="175">
                  <c:v>64.853965517241377</c:v>
                </c:pt>
                <c:pt idx="176">
                  <c:v>64.310724137931032</c:v>
                </c:pt>
                <c:pt idx="177">
                  <c:v>61.582206896551725</c:v>
                </c:pt>
                <c:pt idx="178">
                  <c:v>63.932724137931032</c:v>
                </c:pt>
                <c:pt idx="179">
                  <c:v>64.017482758620687</c:v>
                </c:pt>
                <c:pt idx="180">
                  <c:v>67.162758620689658</c:v>
                </c:pt>
                <c:pt idx="181">
                  <c:v>73.53779310344828</c:v>
                </c:pt>
                <c:pt idx="182">
                  <c:v>88.634586206896557</c:v>
                </c:pt>
                <c:pt idx="183">
                  <c:v>79.127344827586214</c:v>
                </c:pt>
                <c:pt idx="184">
                  <c:v>73.39089655172414</c:v>
                </c:pt>
                <c:pt idx="185">
                  <c:v>76.977999999999994</c:v>
                </c:pt>
                <c:pt idx="186">
                  <c:v>85.447275862068963</c:v>
                </c:pt>
                <c:pt idx="187">
                  <c:v>86.048448275862071</c:v>
                </c:pt>
                <c:pt idx="188">
                  <c:v>73.312827586206893</c:v>
                </c:pt>
                <c:pt idx="189">
                  <c:v>77.499793103448283</c:v>
                </c:pt>
                <c:pt idx="190">
                  <c:v>82.924379310344833</c:v>
                </c:pt>
                <c:pt idx="191">
                  <c:v>86.577310344827595</c:v>
                </c:pt>
                <c:pt idx="192">
                  <c:v>87.196413793103446</c:v>
                </c:pt>
                <c:pt idx="193">
                  <c:v>98.489620689655169</c:v>
                </c:pt>
                <c:pt idx="194">
                  <c:v>73.27372413793104</c:v>
                </c:pt>
                <c:pt idx="195">
                  <c:v>94.489448275862074</c:v>
                </c:pt>
                <c:pt idx="196">
                  <c:v>86.253655172413801</c:v>
                </c:pt>
                <c:pt idx="197">
                  <c:v>81.035413793103459</c:v>
                </c:pt>
                <c:pt idx="198">
                  <c:v>66.993344827586213</c:v>
                </c:pt>
                <c:pt idx="199">
                  <c:v>74.86972413793103</c:v>
                </c:pt>
                <c:pt idx="200">
                  <c:v>58.108034482758626</c:v>
                </c:pt>
                <c:pt idx="201">
                  <c:v>62.902172413793103</c:v>
                </c:pt>
                <c:pt idx="202">
                  <c:v>99.439758620689659</c:v>
                </c:pt>
                <c:pt idx="203">
                  <c:v>93.270379310344822</c:v>
                </c:pt>
                <c:pt idx="204">
                  <c:v>71.991068965517258</c:v>
                </c:pt>
                <c:pt idx="205">
                  <c:v>62.968620689655175</c:v>
                </c:pt>
                <c:pt idx="206">
                  <c:v>64.54279310344829</c:v>
                </c:pt>
                <c:pt idx="207">
                  <c:v>69.51889655172414</c:v>
                </c:pt>
                <c:pt idx="208">
                  <c:v>67.122793103448274</c:v>
                </c:pt>
                <c:pt idx="209">
                  <c:v>74.447172413793112</c:v>
                </c:pt>
                <c:pt idx="210">
                  <c:v>68.295344827586206</c:v>
                </c:pt>
                <c:pt idx="211">
                  <c:v>72.052344827586211</c:v>
                </c:pt>
                <c:pt idx="212">
                  <c:v>73.189310344827589</c:v>
                </c:pt>
                <c:pt idx="213">
                  <c:v>69.738379310344826</c:v>
                </c:pt>
                <c:pt idx="214">
                  <c:v>64.311206896551724</c:v>
                </c:pt>
                <c:pt idx="215">
                  <c:v>76.184827586206893</c:v>
                </c:pt>
                <c:pt idx="216">
                  <c:v>78.308275862068967</c:v>
                </c:pt>
                <c:pt idx="217">
                  <c:v>91.499344827586214</c:v>
                </c:pt>
                <c:pt idx="218">
                  <c:v>57.15979310344828</c:v>
                </c:pt>
                <c:pt idx="219">
                  <c:v>75.087655172413804</c:v>
                </c:pt>
                <c:pt idx="220">
                  <c:v>76.896413793103449</c:v>
                </c:pt>
                <c:pt idx="221">
                  <c:v>49.100586206896551</c:v>
                </c:pt>
                <c:pt idx="222">
                  <c:v>68.259793103448274</c:v>
                </c:pt>
                <c:pt idx="223">
                  <c:v>81.890379310344827</c:v>
                </c:pt>
                <c:pt idx="224">
                  <c:v>78.295482758620693</c:v>
                </c:pt>
                <c:pt idx="225">
                  <c:v>100.1291724137931</c:v>
                </c:pt>
                <c:pt idx="226">
                  <c:v>85.872965517241383</c:v>
                </c:pt>
                <c:pt idx="227">
                  <c:v>66.388689655172413</c:v>
                </c:pt>
                <c:pt idx="228">
                  <c:v>68.751482758620696</c:v>
                </c:pt>
                <c:pt idx="229">
                  <c:v>69.257137931034492</c:v>
                </c:pt>
                <c:pt idx="230">
                  <c:v>67.920862068965519</c:v>
                </c:pt>
                <c:pt idx="231">
                  <c:v>70.179241379310355</c:v>
                </c:pt>
                <c:pt idx="232">
                  <c:v>68.057965517241385</c:v>
                </c:pt>
                <c:pt idx="233">
                  <c:v>67.786896551724141</c:v>
                </c:pt>
                <c:pt idx="234">
                  <c:v>64.592862068965516</c:v>
                </c:pt>
                <c:pt idx="235">
                  <c:v>68.442068965517237</c:v>
                </c:pt>
                <c:pt idx="236">
                  <c:v>77.499896551724134</c:v>
                </c:pt>
                <c:pt idx="237">
                  <c:v>79.434862068965515</c:v>
                </c:pt>
                <c:pt idx="238">
                  <c:v>74.504379310344831</c:v>
                </c:pt>
                <c:pt idx="239">
                  <c:v>88.472344827586198</c:v>
                </c:pt>
                <c:pt idx="240">
                  <c:v>78.934517241379311</c:v>
                </c:pt>
                <c:pt idx="241">
                  <c:v>82.616517241379313</c:v>
                </c:pt>
                <c:pt idx="242">
                  <c:v>73.499206896551726</c:v>
                </c:pt>
                <c:pt idx="243">
                  <c:v>68.025206896551722</c:v>
                </c:pt>
                <c:pt idx="244">
                  <c:v>64.746896551724134</c:v>
                </c:pt>
                <c:pt idx="245">
                  <c:v>64.620413793103452</c:v>
                </c:pt>
                <c:pt idx="246">
                  <c:v>54.386068965517246</c:v>
                </c:pt>
                <c:pt idx="247">
                  <c:v>60.630448275862072</c:v>
                </c:pt>
                <c:pt idx="248">
                  <c:v>64.260034482758613</c:v>
                </c:pt>
                <c:pt idx="249">
                  <c:v>73.102275862068964</c:v>
                </c:pt>
                <c:pt idx="250">
                  <c:v>77.779862068965514</c:v>
                </c:pt>
                <c:pt idx="251">
                  <c:v>84.215344827586208</c:v>
                </c:pt>
                <c:pt idx="252">
                  <c:v>80.843310344827586</c:v>
                </c:pt>
                <c:pt idx="253">
                  <c:v>96.010482758620668</c:v>
                </c:pt>
                <c:pt idx="254">
                  <c:v>97.901275862068971</c:v>
                </c:pt>
                <c:pt idx="255">
                  <c:v>91.832448275862077</c:v>
                </c:pt>
                <c:pt idx="256">
                  <c:v>104.60993103448276</c:v>
                </c:pt>
                <c:pt idx="257">
                  <c:v>92.493137931034482</c:v>
                </c:pt>
                <c:pt idx="258">
                  <c:v>87.47237931034482</c:v>
                </c:pt>
                <c:pt idx="259">
                  <c:v>56.074931034482759</c:v>
                </c:pt>
                <c:pt idx="260">
                  <c:v>80.031241379310345</c:v>
                </c:pt>
                <c:pt idx="261">
                  <c:v>91.8343103448276</c:v>
                </c:pt>
                <c:pt idx="262">
                  <c:v>80.238586206896557</c:v>
                </c:pt>
                <c:pt idx="263">
                  <c:v>79.13900000000001</c:v>
                </c:pt>
                <c:pt idx="264">
                  <c:v>63.463862068965518</c:v>
                </c:pt>
                <c:pt idx="265">
                  <c:v>49.579827586206903</c:v>
                </c:pt>
                <c:pt idx="266">
                  <c:v>71.251482758620696</c:v>
                </c:pt>
                <c:pt idx="267">
                  <c:v>54.39734482758621</c:v>
                </c:pt>
                <c:pt idx="268">
                  <c:v>58.516896551724138</c:v>
                </c:pt>
                <c:pt idx="269">
                  <c:v>55.554724137931032</c:v>
                </c:pt>
                <c:pt idx="270">
                  <c:v>80.305034482758629</c:v>
                </c:pt>
                <c:pt idx="271">
                  <c:v>78.562896551724123</c:v>
                </c:pt>
                <c:pt idx="272">
                  <c:v>56.646827586206896</c:v>
                </c:pt>
                <c:pt idx="273">
                  <c:v>71.045172413793111</c:v>
                </c:pt>
                <c:pt idx="274">
                  <c:v>95.163620689655176</c:v>
                </c:pt>
                <c:pt idx="275">
                  <c:v>87.240758620689661</c:v>
                </c:pt>
                <c:pt idx="276">
                  <c:v>84.512758620689652</c:v>
                </c:pt>
                <c:pt idx="277">
                  <c:v>93.521620689655165</c:v>
                </c:pt>
                <c:pt idx="278">
                  <c:v>95.551448275862072</c:v>
                </c:pt>
                <c:pt idx="279">
                  <c:v>86.544758620689663</c:v>
                </c:pt>
                <c:pt idx="280">
                  <c:v>105.542</c:v>
                </c:pt>
                <c:pt idx="281">
                  <c:v>110.56120689655174</c:v>
                </c:pt>
                <c:pt idx="282">
                  <c:v>118.15520689655173</c:v>
                </c:pt>
                <c:pt idx="283">
                  <c:v>119.03713793103447</c:v>
                </c:pt>
                <c:pt idx="284">
                  <c:v>91.109586206896552</c:v>
                </c:pt>
                <c:pt idx="285">
                  <c:v>92.456827586206899</c:v>
                </c:pt>
                <c:pt idx="286">
                  <c:v>103.7575172413793</c:v>
                </c:pt>
                <c:pt idx="287">
                  <c:v>111.16541379310344</c:v>
                </c:pt>
                <c:pt idx="288">
                  <c:v>118.47096551724138</c:v>
                </c:pt>
                <c:pt idx="289">
                  <c:v>113.90079310344828</c:v>
                </c:pt>
                <c:pt idx="290">
                  <c:v>77.793827586206902</c:v>
                </c:pt>
                <c:pt idx="291">
                  <c:v>89.497137931034487</c:v>
                </c:pt>
                <c:pt idx="292">
                  <c:v>74.143517241379314</c:v>
                </c:pt>
                <c:pt idx="293">
                  <c:v>70.123275862068965</c:v>
                </c:pt>
                <c:pt idx="294">
                  <c:v>80.88000000000001</c:v>
                </c:pt>
                <c:pt idx="295">
                  <c:v>87.977103448275869</c:v>
                </c:pt>
                <c:pt idx="296">
                  <c:v>84.75110344827587</c:v>
                </c:pt>
                <c:pt idx="297">
                  <c:v>108.19806896551725</c:v>
                </c:pt>
                <c:pt idx="298">
                  <c:v>103.82289655172414</c:v>
                </c:pt>
                <c:pt idx="299">
                  <c:v>105.30913793103448</c:v>
                </c:pt>
                <c:pt idx="300">
                  <c:v>106.92465517241379</c:v>
                </c:pt>
                <c:pt idx="301">
                  <c:v>111.13775862068965</c:v>
                </c:pt>
                <c:pt idx="302">
                  <c:v>103.59010344827587</c:v>
                </c:pt>
                <c:pt idx="303">
                  <c:v>91.256310344827597</c:v>
                </c:pt>
                <c:pt idx="304">
                  <c:v>91.41241379310344</c:v>
                </c:pt>
                <c:pt idx="305">
                  <c:v>85.650068965517249</c:v>
                </c:pt>
                <c:pt idx="306">
                  <c:v>78.495517241379304</c:v>
                </c:pt>
                <c:pt idx="307">
                  <c:v>85.015655172413787</c:v>
                </c:pt>
                <c:pt idx="308">
                  <c:v>85.512413793103462</c:v>
                </c:pt>
                <c:pt idx="309">
                  <c:v>78.853241379310333</c:v>
                </c:pt>
                <c:pt idx="310">
                  <c:v>70.521551724137936</c:v>
                </c:pt>
                <c:pt idx="311">
                  <c:v>77.374172413793104</c:v>
                </c:pt>
                <c:pt idx="312">
                  <c:v>99.302931034482768</c:v>
                </c:pt>
                <c:pt idx="313">
                  <c:v>89.30396551724138</c:v>
                </c:pt>
                <c:pt idx="314">
                  <c:v>82.283931034482777</c:v>
                </c:pt>
                <c:pt idx="315">
                  <c:v>109.36799999999999</c:v>
                </c:pt>
                <c:pt idx="316">
                  <c:v>87.695862068965511</c:v>
                </c:pt>
                <c:pt idx="317">
                  <c:v>89.984034482758631</c:v>
                </c:pt>
                <c:pt idx="318">
                  <c:v>98.196206896551715</c:v>
                </c:pt>
                <c:pt idx="319">
                  <c:v>94.648931034482757</c:v>
                </c:pt>
                <c:pt idx="320">
                  <c:v>81.487482758620686</c:v>
                </c:pt>
                <c:pt idx="321">
                  <c:v>72.615655172413796</c:v>
                </c:pt>
                <c:pt idx="322">
                  <c:v>64.936655172413793</c:v>
                </c:pt>
                <c:pt idx="323">
                  <c:v>70.717034482758621</c:v>
                </c:pt>
                <c:pt idx="324">
                  <c:v>87.355620689655169</c:v>
                </c:pt>
                <c:pt idx="325">
                  <c:v>83.766655172413792</c:v>
                </c:pt>
                <c:pt idx="326">
                  <c:v>82.776655172413797</c:v>
                </c:pt>
                <c:pt idx="327">
                  <c:v>54.169034482758626</c:v>
                </c:pt>
                <c:pt idx="328">
                  <c:v>59.722758620689653</c:v>
                </c:pt>
                <c:pt idx="329">
                  <c:v>71.566482758620694</c:v>
                </c:pt>
                <c:pt idx="330">
                  <c:v>70.950448275862072</c:v>
                </c:pt>
                <c:pt idx="331">
                  <c:v>80.68693103448274</c:v>
                </c:pt>
                <c:pt idx="332">
                  <c:v>76.353517241379308</c:v>
                </c:pt>
                <c:pt idx="333">
                  <c:v>85.613862068965517</c:v>
                </c:pt>
                <c:pt idx="334">
                  <c:v>61.446275862068958</c:v>
                </c:pt>
                <c:pt idx="335">
                  <c:v>60.492034482758626</c:v>
                </c:pt>
                <c:pt idx="336">
                  <c:v>73.221724137931034</c:v>
                </c:pt>
                <c:pt idx="337">
                  <c:v>71.977034482758611</c:v>
                </c:pt>
                <c:pt idx="338">
                  <c:v>72.104310344827582</c:v>
                </c:pt>
                <c:pt idx="339">
                  <c:v>77.900448275862061</c:v>
                </c:pt>
                <c:pt idx="340">
                  <c:v>68.332862068965525</c:v>
                </c:pt>
                <c:pt idx="341">
                  <c:v>59.58</c:v>
                </c:pt>
                <c:pt idx="342">
                  <c:v>64.344620689655173</c:v>
                </c:pt>
                <c:pt idx="343">
                  <c:v>99.317310344827604</c:v>
                </c:pt>
                <c:pt idx="344">
                  <c:v>134.87075862068966</c:v>
                </c:pt>
                <c:pt idx="345">
                  <c:v>122.72220689655171</c:v>
                </c:pt>
                <c:pt idx="346">
                  <c:v>109.98517241379311</c:v>
                </c:pt>
                <c:pt idx="347">
                  <c:v>99.309103448275863</c:v>
                </c:pt>
                <c:pt idx="348">
                  <c:v>93.771793103448275</c:v>
                </c:pt>
                <c:pt idx="349">
                  <c:v>87.1375172413793</c:v>
                </c:pt>
                <c:pt idx="350">
                  <c:v>95.197793103448276</c:v>
                </c:pt>
                <c:pt idx="351">
                  <c:v>112.19844827586206</c:v>
                </c:pt>
                <c:pt idx="352">
                  <c:v>129.83134482758624</c:v>
                </c:pt>
                <c:pt idx="353">
                  <c:v>121.26551724137931</c:v>
                </c:pt>
                <c:pt idx="354">
                  <c:v>99.224586206896561</c:v>
                </c:pt>
                <c:pt idx="355">
                  <c:v>58.950620689655175</c:v>
                </c:pt>
                <c:pt idx="356">
                  <c:v>60.731931034482763</c:v>
                </c:pt>
                <c:pt idx="357">
                  <c:v>82.277482758620692</c:v>
                </c:pt>
                <c:pt idx="358">
                  <c:v>84.295034482758609</c:v>
                </c:pt>
                <c:pt idx="359">
                  <c:v>99.482310344827596</c:v>
                </c:pt>
                <c:pt idx="360">
                  <c:v>171.09855172413793</c:v>
                </c:pt>
                <c:pt idx="361">
                  <c:v>126.76668965517241</c:v>
                </c:pt>
                <c:pt idx="362">
                  <c:v>114.14975862068965</c:v>
                </c:pt>
                <c:pt idx="363">
                  <c:v>121.14368965517241</c:v>
                </c:pt>
                <c:pt idx="364">
                  <c:v>149.8801724137931</c:v>
                </c:pt>
              </c:numCache>
            </c:numRef>
          </c:val>
          <c:smooth val="0"/>
          <c:extLst>
            <c:ext xmlns:c16="http://schemas.microsoft.com/office/drawing/2014/chart" uri="{C3380CC4-5D6E-409C-BE32-E72D297353CC}">
              <c16:uniqueId val="{00000002-6E3A-471F-9D6F-40CCA298E89C}"/>
            </c:ext>
          </c:extLst>
        </c:ser>
        <c:ser>
          <c:idx val="3"/>
          <c:order val="3"/>
          <c:tx>
            <c:v>Nameplate capacity (TJ/day)</c:v>
          </c:tx>
          <c:spPr>
            <a:ln w="76200">
              <a:solidFill>
                <a:schemeClr val="accent6">
                  <a:lumMod val="50000"/>
                </a:schemeClr>
              </a:solidFill>
            </a:ln>
          </c:spPr>
          <c:marker>
            <c:symbol val="none"/>
          </c:marker>
          <c:dPt>
            <c:idx val="365"/>
            <c:bubble3D val="0"/>
            <c:spPr>
              <a:ln w="76200">
                <a:noFill/>
              </a:ln>
            </c:spPr>
            <c:extLst>
              <c:ext xmlns:c16="http://schemas.microsoft.com/office/drawing/2014/chart" uri="{C3380CC4-5D6E-409C-BE32-E72D297353CC}">
                <c16:uniqueId val="{00000004-6E3A-471F-9D6F-40CCA298E89C}"/>
              </c:ext>
            </c:extLst>
          </c:dPt>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demand'!$F$43:$F$408</c:f>
              <c:numCache>
                <c:formatCode>_(* #,##0_);_(* \(#,##0\);_(* "-"_);_(@_)</c:formatCode>
                <c:ptCount val="366"/>
                <c:pt idx="0">
                  <c:v>313.99972413793103</c:v>
                </c:pt>
                <c:pt idx="1">
                  <c:v>313.99972413793103</c:v>
                </c:pt>
                <c:pt idx="2">
                  <c:v>313.99972413793103</c:v>
                </c:pt>
                <c:pt idx="3">
                  <c:v>313.99972413793103</c:v>
                </c:pt>
                <c:pt idx="4">
                  <c:v>313.99972413793103</c:v>
                </c:pt>
                <c:pt idx="5">
                  <c:v>313.99972413793103</c:v>
                </c:pt>
                <c:pt idx="6">
                  <c:v>313.99972413793103</c:v>
                </c:pt>
                <c:pt idx="7">
                  <c:v>313.99972413793103</c:v>
                </c:pt>
                <c:pt idx="8">
                  <c:v>313.99972413793103</c:v>
                </c:pt>
                <c:pt idx="9">
                  <c:v>313.99972413793103</c:v>
                </c:pt>
                <c:pt idx="10">
                  <c:v>313.99972413793103</c:v>
                </c:pt>
                <c:pt idx="11">
                  <c:v>313.99972413793103</c:v>
                </c:pt>
                <c:pt idx="12">
                  <c:v>313.99972413793103</c:v>
                </c:pt>
                <c:pt idx="13">
                  <c:v>313.99972413793103</c:v>
                </c:pt>
                <c:pt idx="14">
                  <c:v>313.99972413793103</c:v>
                </c:pt>
                <c:pt idx="15">
                  <c:v>313.99972413793103</c:v>
                </c:pt>
                <c:pt idx="16">
                  <c:v>313.99972413793103</c:v>
                </c:pt>
                <c:pt idx="17">
                  <c:v>313.99972413793103</c:v>
                </c:pt>
                <c:pt idx="18">
                  <c:v>313.99972413793103</c:v>
                </c:pt>
                <c:pt idx="19">
                  <c:v>313.99972413793103</c:v>
                </c:pt>
                <c:pt idx="20">
                  <c:v>313.99972413793103</c:v>
                </c:pt>
                <c:pt idx="21">
                  <c:v>313.99972413793103</c:v>
                </c:pt>
                <c:pt idx="22">
                  <c:v>313.99972413793103</c:v>
                </c:pt>
                <c:pt idx="23">
                  <c:v>313.99972413793103</c:v>
                </c:pt>
                <c:pt idx="24">
                  <c:v>313.99972413793103</c:v>
                </c:pt>
                <c:pt idx="25">
                  <c:v>313.99972413793103</c:v>
                </c:pt>
                <c:pt idx="26">
                  <c:v>313.99972413793103</c:v>
                </c:pt>
                <c:pt idx="27">
                  <c:v>313.99972413793103</c:v>
                </c:pt>
                <c:pt idx="28">
                  <c:v>313.99972413793103</c:v>
                </c:pt>
                <c:pt idx="29">
                  <c:v>313.99972413793103</c:v>
                </c:pt>
                <c:pt idx="30">
                  <c:v>313.99972413793103</c:v>
                </c:pt>
                <c:pt idx="31">
                  <c:v>313.99972413793103</c:v>
                </c:pt>
                <c:pt idx="32">
                  <c:v>313.99972413793103</c:v>
                </c:pt>
                <c:pt idx="33">
                  <c:v>313.99972413793103</c:v>
                </c:pt>
                <c:pt idx="34">
                  <c:v>313.99972413793103</c:v>
                </c:pt>
                <c:pt idx="35">
                  <c:v>313.99972413793103</c:v>
                </c:pt>
                <c:pt idx="36">
                  <c:v>313.99972413793103</c:v>
                </c:pt>
                <c:pt idx="37">
                  <c:v>313.99972413793103</c:v>
                </c:pt>
                <c:pt idx="38">
                  <c:v>313.99972413793103</c:v>
                </c:pt>
                <c:pt idx="39">
                  <c:v>313.99972413793103</c:v>
                </c:pt>
                <c:pt idx="40">
                  <c:v>313.99972413793103</c:v>
                </c:pt>
                <c:pt idx="41">
                  <c:v>313.99972413793103</c:v>
                </c:pt>
                <c:pt idx="42">
                  <c:v>313.99972413793103</c:v>
                </c:pt>
                <c:pt idx="43">
                  <c:v>313.99972413793103</c:v>
                </c:pt>
                <c:pt idx="44">
                  <c:v>313.99972413793103</c:v>
                </c:pt>
                <c:pt idx="45">
                  <c:v>313.99972413793103</c:v>
                </c:pt>
                <c:pt idx="46">
                  <c:v>313.99972413793103</c:v>
                </c:pt>
                <c:pt idx="47">
                  <c:v>313.99972413793103</c:v>
                </c:pt>
                <c:pt idx="48">
                  <c:v>313.99972413793103</c:v>
                </c:pt>
                <c:pt idx="49">
                  <c:v>313.99972413793103</c:v>
                </c:pt>
                <c:pt idx="50">
                  <c:v>313.99972413793103</c:v>
                </c:pt>
                <c:pt idx="51">
                  <c:v>313.99972413793103</c:v>
                </c:pt>
                <c:pt idx="52">
                  <c:v>313.99972413793103</c:v>
                </c:pt>
                <c:pt idx="53">
                  <c:v>313.99972413793103</c:v>
                </c:pt>
                <c:pt idx="54">
                  <c:v>313.99972413793103</c:v>
                </c:pt>
                <c:pt idx="55">
                  <c:v>313.99972413793103</c:v>
                </c:pt>
                <c:pt idx="56">
                  <c:v>313.99972413793103</c:v>
                </c:pt>
                <c:pt idx="57">
                  <c:v>313.99972413793103</c:v>
                </c:pt>
                <c:pt idx="58">
                  <c:v>313.99972413793103</c:v>
                </c:pt>
                <c:pt idx="59">
                  <c:v>313.99972413793103</c:v>
                </c:pt>
                <c:pt idx="60">
                  <c:v>313.99972413793103</c:v>
                </c:pt>
                <c:pt idx="61">
                  <c:v>313.99972413793103</c:v>
                </c:pt>
                <c:pt idx="62">
                  <c:v>313.99972413793103</c:v>
                </c:pt>
                <c:pt idx="63">
                  <c:v>313.99972413793103</c:v>
                </c:pt>
                <c:pt idx="64">
                  <c:v>313.99972413793103</c:v>
                </c:pt>
                <c:pt idx="65">
                  <c:v>313.99972413793103</c:v>
                </c:pt>
                <c:pt idx="66">
                  <c:v>313.99972413793103</c:v>
                </c:pt>
                <c:pt idx="67">
                  <c:v>313.99972413793103</c:v>
                </c:pt>
                <c:pt idx="68">
                  <c:v>313.99972413793103</c:v>
                </c:pt>
                <c:pt idx="69">
                  <c:v>313.99972413793103</c:v>
                </c:pt>
                <c:pt idx="70">
                  <c:v>313.99972413793103</c:v>
                </c:pt>
                <c:pt idx="71">
                  <c:v>313.99972413793103</c:v>
                </c:pt>
                <c:pt idx="72">
                  <c:v>313.99972413793103</c:v>
                </c:pt>
                <c:pt idx="73">
                  <c:v>313.99972413793103</c:v>
                </c:pt>
                <c:pt idx="74">
                  <c:v>313.99972413793103</c:v>
                </c:pt>
                <c:pt idx="75">
                  <c:v>313.99972413793103</c:v>
                </c:pt>
                <c:pt idx="76">
                  <c:v>313.99972413793103</c:v>
                </c:pt>
                <c:pt idx="77">
                  <c:v>313.99972413793103</c:v>
                </c:pt>
                <c:pt idx="78">
                  <c:v>313.99972413793103</c:v>
                </c:pt>
                <c:pt idx="79">
                  <c:v>313.99972413793103</c:v>
                </c:pt>
                <c:pt idx="80">
                  <c:v>313.99972413793103</c:v>
                </c:pt>
                <c:pt idx="81">
                  <c:v>313.99972413793103</c:v>
                </c:pt>
                <c:pt idx="82">
                  <c:v>313.99972413793103</c:v>
                </c:pt>
                <c:pt idx="83">
                  <c:v>313.99972413793103</c:v>
                </c:pt>
                <c:pt idx="84">
                  <c:v>313.99972413793103</c:v>
                </c:pt>
                <c:pt idx="85">
                  <c:v>313.99972413793103</c:v>
                </c:pt>
                <c:pt idx="86">
                  <c:v>313.99972413793103</c:v>
                </c:pt>
                <c:pt idx="87">
                  <c:v>313.99972413793103</c:v>
                </c:pt>
                <c:pt idx="88">
                  <c:v>313.99972413793103</c:v>
                </c:pt>
                <c:pt idx="89">
                  <c:v>313.99972413793103</c:v>
                </c:pt>
                <c:pt idx="90">
                  <c:v>313.99972413793103</c:v>
                </c:pt>
                <c:pt idx="91">
                  <c:v>313.99972413793103</c:v>
                </c:pt>
                <c:pt idx="92">
                  <c:v>313.99972413793103</c:v>
                </c:pt>
                <c:pt idx="93">
                  <c:v>313.99972413793103</c:v>
                </c:pt>
                <c:pt idx="94">
                  <c:v>313.99972413793103</c:v>
                </c:pt>
                <c:pt idx="95">
                  <c:v>313.99972413793103</c:v>
                </c:pt>
                <c:pt idx="96">
                  <c:v>313.99972413793103</c:v>
                </c:pt>
                <c:pt idx="97">
                  <c:v>313.99972413793103</c:v>
                </c:pt>
                <c:pt idx="98">
                  <c:v>313.99972413793103</c:v>
                </c:pt>
                <c:pt idx="99">
                  <c:v>313.99972413793103</c:v>
                </c:pt>
                <c:pt idx="100">
                  <c:v>313.99972413793103</c:v>
                </c:pt>
                <c:pt idx="101">
                  <c:v>313.99972413793103</c:v>
                </c:pt>
                <c:pt idx="102">
                  <c:v>313.99972413793103</c:v>
                </c:pt>
                <c:pt idx="103">
                  <c:v>313.99972413793103</c:v>
                </c:pt>
                <c:pt idx="104">
                  <c:v>313.99972413793103</c:v>
                </c:pt>
                <c:pt idx="105">
                  <c:v>313.99972413793103</c:v>
                </c:pt>
                <c:pt idx="106">
                  <c:v>313.99972413793103</c:v>
                </c:pt>
                <c:pt idx="107">
                  <c:v>313.99972413793103</c:v>
                </c:pt>
                <c:pt idx="108">
                  <c:v>313.99972413793103</c:v>
                </c:pt>
                <c:pt idx="109">
                  <c:v>313.99972413793103</c:v>
                </c:pt>
                <c:pt idx="110">
                  <c:v>313.99972413793103</c:v>
                </c:pt>
                <c:pt idx="111">
                  <c:v>313.99972413793103</c:v>
                </c:pt>
                <c:pt idx="112">
                  <c:v>313.99972413793103</c:v>
                </c:pt>
                <c:pt idx="113">
                  <c:v>313.99972413793103</c:v>
                </c:pt>
                <c:pt idx="114">
                  <c:v>313.99972413793103</c:v>
                </c:pt>
                <c:pt idx="115">
                  <c:v>313.99972413793103</c:v>
                </c:pt>
                <c:pt idx="116">
                  <c:v>313.99972413793103</c:v>
                </c:pt>
                <c:pt idx="117">
                  <c:v>313.99972413793103</c:v>
                </c:pt>
                <c:pt idx="118">
                  <c:v>313.99972413793103</c:v>
                </c:pt>
                <c:pt idx="119">
                  <c:v>313.99972413793103</c:v>
                </c:pt>
                <c:pt idx="120">
                  <c:v>313.99972413793103</c:v>
                </c:pt>
                <c:pt idx="121">
                  <c:v>313.99972413793103</c:v>
                </c:pt>
                <c:pt idx="122">
                  <c:v>313.99972413793103</c:v>
                </c:pt>
                <c:pt idx="123">
                  <c:v>313.99972413793103</c:v>
                </c:pt>
                <c:pt idx="124">
                  <c:v>313.99972413793103</c:v>
                </c:pt>
                <c:pt idx="125">
                  <c:v>313.99972413793103</c:v>
                </c:pt>
                <c:pt idx="126">
                  <c:v>313.99972413793103</c:v>
                </c:pt>
                <c:pt idx="127">
                  <c:v>313.99972413793103</c:v>
                </c:pt>
                <c:pt idx="128">
                  <c:v>313.99972413793103</c:v>
                </c:pt>
                <c:pt idx="129">
                  <c:v>313.99972413793103</c:v>
                </c:pt>
                <c:pt idx="130">
                  <c:v>313.99972413793103</c:v>
                </c:pt>
                <c:pt idx="131">
                  <c:v>313.99972413793103</c:v>
                </c:pt>
                <c:pt idx="132">
                  <c:v>313.99972413793103</c:v>
                </c:pt>
                <c:pt idx="133">
                  <c:v>313.99972413793103</c:v>
                </c:pt>
                <c:pt idx="134">
                  <c:v>313.99972413793103</c:v>
                </c:pt>
                <c:pt idx="135">
                  <c:v>313.99972413793103</c:v>
                </c:pt>
                <c:pt idx="136">
                  <c:v>313.99972413793103</c:v>
                </c:pt>
                <c:pt idx="137">
                  <c:v>313.99972413793103</c:v>
                </c:pt>
                <c:pt idx="138">
                  <c:v>313.99972413793103</c:v>
                </c:pt>
                <c:pt idx="139">
                  <c:v>313.99972413793103</c:v>
                </c:pt>
                <c:pt idx="140">
                  <c:v>313.99972413793103</c:v>
                </c:pt>
                <c:pt idx="141">
                  <c:v>313.99972413793103</c:v>
                </c:pt>
                <c:pt idx="142">
                  <c:v>313.99972413793103</c:v>
                </c:pt>
                <c:pt idx="143">
                  <c:v>313.99972413793103</c:v>
                </c:pt>
                <c:pt idx="144">
                  <c:v>313.99972413793103</c:v>
                </c:pt>
                <c:pt idx="145">
                  <c:v>313.99972413793103</c:v>
                </c:pt>
                <c:pt idx="146">
                  <c:v>313.99972413793103</c:v>
                </c:pt>
                <c:pt idx="147">
                  <c:v>313.99972413793103</c:v>
                </c:pt>
                <c:pt idx="148">
                  <c:v>313.99972413793103</c:v>
                </c:pt>
                <c:pt idx="149">
                  <c:v>313.99972413793103</c:v>
                </c:pt>
                <c:pt idx="150">
                  <c:v>313.99972413793103</c:v>
                </c:pt>
                <c:pt idx="151">
                  <c:v>313.99972413793103</c:v>
                </c:pt>
                <c:pt idx="152">
                  <c:v>313.99972413793103</c:v>
                </c:pt>
                <c:pt idx="153">
                  <c:v>313.99972413793103</c:v>
                </c:pt>
                <c:pt idx="154">
                  <c:v>313.99972413793103</c:v>
                </c:pt>
                <c:pt idx="155">
                  <c:v>313.99972413793103</c:v>
                </c:pt>
                <c:pt idx="156">
                  <c:v>313.99972413793103</c:v>
                </c:pt>
                <c:pt idx="157">
                  <c:v>313.99972413793103</c:v>
                </c:pt>
                <c:pt idx="158">
                  <c:v>313.99972413793103</c:v>
                </c:pt>
                <c:pt idx="159">
                  <c:v>313.99972413793103</c:v>
                </c:pt>
                <c:pt idx="160">
                  <c:v>313.99972413793103</c:v>
                </c:pt>
                <c:pt idx="161">
                  <c:v>313.99972413793103</c:v>
                </c:pt>
                <c:pt idx="162">
                  <c:v>313.99972413793103</c:v>
                </c:pt>
                <c:pt idx="163">
                  <c:v>313.99972413793103</c:v>
                </c:pt>
                <c:pt idx="164">
                  <c:v>313.99972413793103</c:v>
                </c:pt>
                <c:pt idx="165">
                  <c:v>313.99972413793103</c:v>
                </c:pt>
                <c:pt idx="166">
                  <c:v>313.99972413793103</c:v>
                </c:pt>
                <c:pt idx="167">
                  <c:v>313.99972413793103</c:v>
                </c:pt>
                <c:pt idx="168">
                  <c:v>313.99972413793103</c:v>
                </c:pt>
                <c:pt idx="169">
                  <c:v>313.99972413793103</c:v>
                </c:pt>
                <c:pt idx="170">
                  <c:v>313.99972413793103</c:v>
                </c:pt>
                <c:pt idx="171">
                  <c:v>313.99972413793103</c:v>
                </c:pt>
                <c:pt idx="172">
                  <c:v>313.99972413793103</c:v>
                </c:pt>
                <c:pt idx="173">
                  <c:v>313.99972413793103</c:v>
                </c:pt>
                <c:pt idx="174">
                  <c:v>313.99972413793103</c:v>
                </c:pt>
                <c:pt idx="175">
                  <c:v>313.99972413793103</c:v>
                </c:pt>
                <c:pt idx="176">
                  <c:v>313.99972413793103</c:v>
                </c:pt>
                <c:pt idx="177">
                  <c:v>313.99972413793103</c:v>
                </c:pt>
                <c:pt idx="178">
                  <c:v>313.99972413793103</c:v>
                </c:pt>
                <c:pt idx="179">
                  <c:v>313.99972413793103</c:v>
                </c:pt>
                <c:pt idx="180">
                  <c:v>313.99972413793103</c:v>
                </c:pt>
                <c:pt idx="181">
                  <c:v>313.99972413793103</c:v>
                </c:pt>
                <c:pt idx="182">
                  <c:v>313.99972413793103</c:v>
                </c:pt>
                <c:pt idx="183">
                  <c:v>313.99972413793103</c:v>
                </c:pt>
                <c:pt idx="184">
                  <c:v>314.00024137931035</c:v>
                </c:pt>
                <c:pt idx="185">
                  <c:v>314.00024137931035</c:v>
                </c:pt>
                <c:pt idx="186">
                  <c:v>314.00024137931035</c:v>
                </c:pt>
                <c:pt idx="187">
                  <c:v>314.00024137931035</c:v>
                </c:pt>
                <c:pt idx="188">
                  <c:v>314.00024137931035</c:v>
                </c:pt>
                <c:pt idx="189">
                  <c:v>314.00024137931035</c:v>
                </c:pt>
                <c:pt idx="190">
                  <c:v>314.00024137931035</c:v>
                </c:pt>
                <c:pt idx="191">
                  <c:v>314.00024137931035</c:v>
                </c:pt>
                <c:pt idx="192">
                  <c:v>314.00024137931035</c:v>
                </c:pt>
                <c:pt idx="193">
                  <c:v>314.00024137931035</c:v>
                </c:pt>
                <c:pt idx="194">
                  <c:v>314.00024137931035</c:v>
                </c:pt>
                <c:pt idx="195">
                  <c:v>314.00024137931035</c:v>
                </c:pt>
                <c:pt idx="196">
                  <c:v>314.00024137931035</c:v>
                </c:pt>
                <c:pt idx="197">
                  <c:v>314.00024137931035</c:v>
                </c:pt>
                <c:pt idx="198">
                  <c:v>314.00024137931035</c:v>
                </c:pt>
                <c:pt idx="199">
                  <c:v>314.00024137931035</c:v>
                </c:pt>
                <c:pt idx="200">
                  <c:v>314.00024137931035</c:v>
                </c:pt>
                <c:pt idx="201">
                  <c:v>314.00024137931035</c:v>
                </c:pt>
                <c:pt idx="202">
                  <c:v>314.00024137931035</c:v>
                </c:pt>
                <c:pt idx="203">
                  <c:v>314.00024137931035</c:v>
                </c:pt>
                <c:pt idx="204">
                  <c:v>314.00024137931035</c:v>
                </c:pt>
                <c:pt idx="205">
                  <c:v>314.00024137931035</c:v>
                </c:pt>
                <c:pt idx="206">
                  <c:v>314.00024137931035</c:v>
                </c:pt>
                <c:pt idx="207">
                  <c:v>314.00024137931035</c:v>
                </c:pt>
                <c:pt idx="208">
                  <c:v>314.00024137931035</c:v>
                </c:pt>
                <c:pt idx="209">
                  <c:v>314.00024137931035</c:v>
                </c:pt>
                <c:pt idx="210">
                  <c:v>314.00024137931035</c:v>
                </c:pt>
                <c:pt idx="211">
                  <c:v>314.00024137931035</c:v>
                </c:pt>
                <c:pt idx="212">
                  <c:v>314.00024137931035</c:v>
                </c:pt>
                <c:pt idx="213">
                  <c:v>314.00024137931035</c:v>
                </c:pt>
                <c:pt idx="214">
                  <c:v>314.00024137931035</c:v>
                </c:pt>
                <c:pt idx="215">
                  <c:v>314.00024137931035</c:v>
                </c:pt>
                <c:pt idx="216">
                  <c:v>314.00024137931035</c:v>
                </c:pt>
                <c:pt idx="217">
                  <c:v>314.00024137931035</c:v>
                </c:pt>
                <c:pt idx="218">
                  <c:v>314.00024137931035</c:v>
                </c:pt>
                <c:pt idx="219">
                  <c:v>314.00024137931035</c:v>
                </c:pt>
                <c:pt idx="220">
                  <c:v>314.00024137931035</c:v>
                </c:pt>
                <c:pt idx="221">
                  <c:v>314.00024137931035</c:v>
                </c:pt>
                <c:pt idx="222">
                  <c:v>314.00024137931035</c:v>
                </c:pt>
                <c:pt idx="223">
                  <c:v>314.00024137931035</c:v>
                </c:pt>
                <c:pt idx="224">
                  <c:v>314.00024137931035</c:v>
                </c:pt>
                <c:pt idx="225">
                  <c:v>314.00024137931035</c:v>
                </c:pt>
                <c:pt idx="226">
                  <c:v>314.00024137931035</c:v>
                </c:pt>
                <c:pt idx="227">
                  <c:v>314.00024137931035</c:v>
                </c:pt>
                <c:pt idx="228">
                  <c:v>314.00024137931035</c:v>
                </c:pt>
                <c:pt idx="229">
                  <c:v>314.00024137931035</c:v>
                </c:pt>
                <c:pt idx="230">
                  <c:v>314.00024137931035</c:v>
                </c:pt>
                <c:pt idx="231">
                  <c:v>314.00024137931035</c:v>
                </c:pt>
                <c:pt idx="232">
                  <c:v>314.00024137931035</c:v>
                </c:pt>
                <c:pt idx="233">
                  <c:v>314.00024137931035</c:v>
                </c:pt>
                <c:pt idx="234">
                  <c:v>314.00024137931035</c:v>
                </c:pt>
                <c:pt idx="235">
                  <c:v>314.00024137931035</c:v>
                </c:pt>
                <c:pt idx="236">
                  <c:v>314.00024137931035</c:v>
                </c:pt>
                <c:pt idx="237">
                  <c:v>314.00024137931035</c:v>
                </c:pt>
                <c:pt idx="238">
                  <c:v>314.00024137931035</c:v>
                </c:pt>
                <c:pt idx="239">
                  <c:v>314.00024137931035</c:v>
                </c:pt>
                <c:pt idx="240">
                  <c:v>314.00024137931035</c:v>
                </c:pt>
                <c:pt idx="241">
                  <c:v>314.00024137931035</c:v>
                </c:pt>
                <c:pt idx="242">
                  <c:v>314.00024137931035</c:v>
                </c:pt>
                <c:pt idx="243">
                  <c:v>314.00024137931035</c:v>
                </c:pt>
                <c:pt idx="244">
                  <c:v>314.00024137931035</c:v>
                </c:pt>
                <c:pt idx="245">
                  <c:v>314.00024137931035</c:v>
                </c:pt>
                <c:pt idx="246">
                  <c:v>314.00024137931035</c:v>
                </c:pt>
                <c:pt idx="247">
                  <c:v>314.00024137931035</c:v>
                </c:pt>
                <c:pt idx="248">
                  <c:v>314.00024137931035</c:v>
                </c:pt>
                <c:pt idx="249">
                  <c:v>314.00024137931035</c:v>
                </c:pt>
                <c:pt idx="250">
                  <c:v>314.00024137931035</c:v>
                </c:pt>
                <c:pt idx="251">
                  <c:v>314.00024137931035</c:v>
                </c:pt>
                <c:pt idx="252">
                  <c:v>314.00024137931035</c:v>
                </c:pt>
                <c:pt idx="253">
                  <c:v>314.00024137931035</c:v>
                </c:pt>
                <c:pt idx="254">
                  <c:v>314.00024137931035</c:v>
                </c:pt>
                <c:pt idx="255">
                  <c:v>314.00024137931035</c:v>
                </c:pt>
                <c:pt idx="256">
                  <c:v>314.00024137931035</c:v>
                </c:pt>
                <c:pt idx="257">
                  <c:v>314.00024137931035</c:v>
                </c:pt>
                <c:pt idx="258">
                  <c:v>314.00024137931035</c:v>
                </c:pt>
                <c:pt idx="259">
                  <c:v>314.00024137931035</c:v>
                </c:pt>
                <c:pt idx="260">
                  <c:v>314.00024137931035</c:v>
                </c:pt>
                <c:pt idx="261">
                  <c:v>314.00024137931035</c:v>
                </c:pt>
                <c:pt idx="262">
                  <c:v>314.00024137931035</c:v>
                </c:pt>
                <c:pt idx="263">
                  <c:v>314.00024137931035</c:v>
                </c:pt>
                <c:pt idx="264">
                  <c:v>314.00024137931035</c:v>
                </c:pt>
                <c:pt idx="265">
                  <c:v>314.00024137931035</c:v>
                </c:pt>
                <c:pt idx="266">
                  <c:v>314.00024137931035</c:v>
                </c:pt>
                <c:pt idx="267">
                  <c:v>314.00024137931035</c:v>
                </c:pt>
                <c:pt idx="268">
                  <c:v>314.00024137931035</c:v>
                </c:pt>
                <c:pt idx="269">
                  <c:v>314.00024137931035</c:v>
                </c:pt>
                <c:pt idx="270">
                  <c:v>314.00024137931035</c:v>
                </c:pt>
                <c:pt idx="271">
                  <c:v>314.00024137931035</c:v>
                </c:pt>
                <c:pt idx="272">
                  <c:v>314.00024137931035</c:v>
                </c:pt>
                <c:pt idx="273">
                  <c:v>314.00024137931035</c:v>
                </c:pt>
                <c:pt idx="274">
                  <c:v>314.00024137931035</c:v>
                </c:pt>
                <c:pt idx="275">
                  <c:v>314.00024137931035</c:v>
                </c:pt>
                <c:pt idx="276">
                  <c:v>314.00024137931035</c:v>
                </c:pt>
                <c:pt idx="277">
                  <c:v>314.00024137931035</c:v>
                </c:pt>
                <c:pt idx="278">
                  <c:v>314.00024137931035</c:v>
                </c:pt>
                <c:pt idx="279">
                  <c:v>314.00024137931035</c:v>
                </c:pt>
                <c:pt idx="280">
                  <c:v>314.00024137931035</c:v>
                </c:pt>
                <c:pt idx="281">
                  <c:v>314.00024137931035</c:v>
                </c:pt>
                <c:pt idx="282">
                  <c:v>314.00024137931035</c:v>
                </c:pt>
                <c:pt idx="283">
                  <c:v>314.00024137931035</c:v>
                </c:pt>
                <c:pt idx="284">
                  <c:v>314.00024137931035</c:v>
                </c:pt>
                <c:pt idx="285">
                  <c:v>314.00024137931035</c:v>
                </c:pt>
                <c:pt idx="286">
                  <c:v>314.00024137931035</c:v>
                </c:pt>
                <c:pt idx="287">
                  <c:v>314.00024137931035</c:v>
                </c:pt>
                <c:pt idx="288">
                  <c:v>314.00024137931035</c:v>
                </c:pt>
                <c:pt idx="289">
                  <c:v>314.00024137931035</c:v>
                </c:pt>
                <c:pt idx="290">
                  <c:v>314.00024137931035</c:v>
                </c:pt>
                <c:pt idx="291">
                  <c:v>314.00024137931035</c:v>
                </c:pt>
                <c:pt idx="292">
                  <c:v>314.00024137931035</c:v>
                </c:pt>
                <c:pt idx="293">
                  <c:v>314.00024137931035</c:v>
                </c:pt>
                <c:pt idx="294">
                  <c:v>314.00024137931035</c:v>
                </c:pt>
                <c:pt idx="295">
                  <c:v>314.00024137931035</c:v>
                </c:pt>
                <c:pt idx="296">
                  <c:v>314.00024137931035</c:v>
                </c:pt>
                <c:pt idx="297">
                  <c:v>314.00024137931035</c:v>
                </c:pt>
                <c:pt idx="298">
                  <c:v>314.00024137931035</c:v>
                </c:pt>
                <c:pt idx="299">
                  <c:v>314.00024137931035</c:v>
                </c:pt>
                <c:pt idx="300">
                  <c:v>314.00024137931035</c:v>
                </c:pt>
                <c:pt idx="301">
                  <c:v>314.00024137931035</c:v>
                </c:pt>
                <c:pt idx="302">
                  <c:v>314.00024137931035</c:v>
                </c:pt>
                <c:pt idx="303">
                  <c:v>314.00024137931035</c:v>
                </c:pt>
                <c:pt idx="304">
                  <c:v>314.00024137931035</c:v>
                </c:pt>
                <c:pt idx="305">
                  <c:v>314.00024137931035</c:v>
                </c:pt>
                <c:pt idx="306">
                  <c:v>314.00024137931035</c:v>
                </c:pt>
                <c:pt idx="307">
                  <c:v>314.00024137931035</c:v>
                </c:pt>
                <c:pt idx="308">
                  <c:v>314.00024137931035</c:v>
                </c:pt>
                <c:pt idx="309">
                  <c:v>314.00024137931035</c:v>
                </c:pt>
                <c:pt idx="310">
                  <c:v>314.00024137931035</c:v>
                </c:pt>
                <c:pt idx="311">
                  <c:v>314.00024137931035</c:v>
                </c:pt>
                <c:pt idx="312">
                  <c:v>314.00024137931035</c:v>
                </c:pt>
                <c:pt idx="313">
                  <c:v>314.00024137931035</c:v>
                </c:pt>
                <c:pt idx="314">
                  <c:v>314.00024137931035</c:v>
                </c:pt>
                <c:pt idx="315">
                  <c:v>314.00024137931035</c:v>
                </c:pt>
                <c:pt idx="316">
                  <c:v>314.00024137931035</c:v>
                </c:pt>
                <c:pt idx="317">
                  <c:v>314.00024137931035</c:v>
                </c:pt>
                <c:pt idx="318">
                  <c:v>314.00024137931035</c:v>
                </c:pt>
                <c:pt idx="319">
                  <c:v>314.00024137931035</c:v>
                </c:pt>
                <c:pt idx="320">
                  <c:v>314.00024137931035</c:v>
                </c:pt>
                <c:pt idx="321">
                  <c:v>314.00024137931035</c:v>
                </c:pt>
                <c:pt idx="322">
                  <c:v>314.00024137931035</c:v>
                </c:pt>
                <c:pt idx="323">
                  <c:v>314.00024137931035</c:v>
                </c:pt>
                <c:pt idx="324">
                  <c:v>314.00024137931035</c:v>
                </c:pt>
                <c:pt idx="325">
                  <c:v>314.00024137931035</c:v>
                </c:pt>
                <c:pt idx="326">
                  <c:v>314.00024137931035</c:v>
                </c:pt>
                <c:pt idx="327">
                  <c:v>314.00024137931035</c:v>
                </c:pt>
                <c:pt idx="328">
                  <c:v>314.00024137931035</c:v>
                </c:pt>
                <c:pt idx="329">
                  <c:v>314.00024137931035</c:v>
                </c:pt>
                <c:pt idx="330">
                  <c:v>314.00024137931035</c:v>
                </c:pt>
                <c:pt idx="331">
                  <c:v>314.00024137931035</c:v>
                </c:pt>
                <c:pt idx="332">
                  <c:v>314.00024137931035</c:v>
                </c:pt>
                <c:pt idx="333">
                  <c:v>314.00024137931035</c:v>
                </c:pt>
                <c:pt idx="334">
                  <c:v>314.00024137931035</c:v>
                </c:pt>
                <c:pt idx="335">
                  <c:v>314.00024137931035</c:v>
                </c:pt>
                <c:pt idx="336">
                  <c:v>314.00024137931035</c:v>
                </c:pt>
                <c:pt idx="337">
                  <c:v>314.00024137931035</c:v>
                </c:pt>
                <c:pt idx="338">
                  <c:v>314.00024137931035</c:v>
                </c:pt>
                <c:pt idx="339">
                  <c:v>314.00024137931035</c:v>
                </c:pt>
                <c:pt idx="340">
                  <c:v>314.00024137931035</c:v>
                </c:pt>
                <c:pt idx="341">
                  <c:v>314.00024137931035</c:v>
                </c:pt>
                <c:pt idx="342">
                  <c:v>314.00024137931035</c:v>
                </c:pt>
                <c:pt idx="343">
                  <c:v>314.00024137931035</c:v>
                </c:pt>
                <c:pt idx="344">
                  <c:v>314.00024137931035</c:v>
                </c:pt>
                <c:pt idx="345">
                  <c:v>314.00024137931035</c:v>
                </c:pt>
                <c:pt idx="346">
                  <c:v>314.00024137931035</c:v>
                </c:pt>
                <c:pt idx="347">
                  <c:v>314.00024137931035</c:v>
                </c:pt>
                <c:pt idx="348">
                  <c:v>314.00024137931035</c:v>
                </c:pt>
                <c:pt idx="349">
                  <c:v>314.00024137931035</c:v>
                </c:pt>
                <c:pt idx="350">
                  <c:v>314.00024137931035</c:v>
                </c:pt>
                <c:pt idx="351">
                  <c:v>314.00024137931035</c:v>
                </c:pt>
                <c:pt idx="352">
                  <c:v>314.00024137931035</c:v>
                </c:pt>
                <c:pt idx="353">
                  <c:v>314.00024137931035</c:v>
                </c:pt>
                <c:pt idx="354">
                  <c:v>314.00024137931035</c:v>
                </c:pt>
                <c:pt idx="355">
                  <c:v>314.00024137931035</c:v>
                </c:pt>
                <c:pt idx="356">
                  <c:v>314.00024137931035</c:v>
                </c:pt>
                <c:pt idx="357">
                  <c:v>314.00024137931035</c:v>
                </c:pt>
                <c:pt idx="358">
                  <c:v>314.00024137931035</c:v>
                </c:pt>
                <c:pt idx="359">
                  <c:v>314.00024137931035</c:v>
                </c:pt>
                <c:pt idx="360">
                  <c:v>314.00024137931035</c:v>
                </c:pt>
                <c:pt idx="361">
                  <c:v>314.00024137931035</c:v>
                </c:pt>
                <c:pt idx="362">
                  <c:v>314.00024137931035</c:v>
                </c:pt>
                <c:pt idx="363">
                  <c:v>314.00024137931035</c:v>
                </c:pt>
                <c:pt idx="364">
                  <c:v>314.00024137931035</c:v>
                </c:pt>
              </c:numCache>
            </c:numRef>
          </c:val>
          <c:smooth val="0"/>
          <c:extLst>
            <c:ext xmlns:c16="http://schemas.microsoft.com/office/drawing/2014/chart" uri="{C3380CC4-5D6E-409C-BE32-E72D297353CC}">
              <c16:uniqueId val="{00000005-6E3A-471F-9D6F-40CCA298E89C}"/>
            </c:ext>
          </c:extLst>
        </c:ser>
        <c:dLbls>
          <c:showLegendKey val="0"/>
          <c:showVal val="0"/>
          <c:showCatName val="0"/>
          <c:showSerName val="0"/>
          <c:showPercent val="0"/>
          <c:showBubbleSize val="0"/>
        </c:dLbls>
        <c:marker val="1"/>
        <c:smooth val="0"/>
        <c:axId val="470303567"/>
        <c:axId val="1"/>
      </c:lineChart>
      <c:dateAx>
        <c:axId val="470303567"/>
        <c:scaling>
          <c:orientation val="minMax"/>
        </c:scaling>
        <c:delete val="0"/>
        <c:axPos val="b"/>
        <c:numFmt formatCode="d/mm/yyyy" sourceLinked="0"/>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333333"/>
                </a:solidFill>
                <a:latin typeface="Arial"/>
                <a:ea typeface="Arial"/>
                <a:cs typeface="Arial"/>
              </a:defRPr>
            </a:pPr>
            <a:endParaRPr lang="en-US"/>
          </a:p>
        </c:txPr>
        <c:crossAx val="1"/>
        <c:crosses val="autoZero"/>
        <c:auto val="1"/>
        <c:lblOffset val="100"/>
        <c:baseTimeUnit val="days"/>
        <c:majorUnit val="4"/>
        <c:majorTimeUnit val="days"/>
        <c:minorUnit val="1"/>
        <c:minorTimeUnit val="days"/>
      </c:dateAx>
      <c:valAx>
        <c:axId val="1"/>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_(* #,##0_);_(* \(#,##0\);_(* &quot;-&quot;_);_(@_)" sourceLinked="1"/>
        <c:majorTickMark val="none"/>
        <c:minorTickMark val="none"/>
        <c:tickLblPos val="nextTo"/>
        <c:spPr>
          <a:ln w="9525">
            <a:noFill/>
          </a:ln>
        </c:spPr>
        <c:txPr>
          <a:bodyPr rot="0" vert="horz"/>
          <a:lstStyle/>
          <a:p>
            <a:pPr>
              <a:defRPr sz="1200" b="0" i="0" u="none" strike="noStrike" baseline="0">
                <a:solidFill>
                  <a:srgbClr val="333333"/>
                </a:solidFill>
                <a:latin typeface="Calibri"/>
                <a:ea typeface="Calibri"/>
                <a:cs typeface="Calibri"/>
              </a:defRPr>
            </a:pPr>
            <a:endParaRPr lang="en-US"/>
          </a:p>
        </c:txPr>
        <c:crossAx val="470303567"/>
        <c:crosses val="autoZero"/>
        <c:crossBetween val="between"/>
      </c:valAx>
      <c:spPr>
        <a:noFill/>
        <a:ln w="25400">
          <a:noFill/>
        </a:ln>
      </c:spPr>
    </c:plotArea>
    <c:legend>
      <c:legendPos val="b"/>
      <c:layout>
        <c:manualLayout>
          <c:xMode val="edge"/>
          <c:yMode val="edge"/>
          <c:x val="0.19204986040377178"/>
          <c:y val="0.95796302497424757"/>
          <c:w val="0.60907245265256726"/>
          <c:h val="3.0048953479842933E-2"/>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Pricing benchmarks</a:t>
            </a:r>
          </a:p>
        </c:rich>
      </c:tx>
      <c:overlay val="0"/>
      <c:spPr>
        <a:noFill/>
        <a:ln w="25400">
          <a:noFill/>
        </a:ln>
      </c:spPr>
    </c:title>
    <c:autoTitleDeleted val="0"/>
    <c:plotArea>
      <c:layout/>
      <c:barChart>
        <c:barDir val="col"/>
        <c:grouping val="stacked"/>
        <c:varyColors val="0"/>
        <c:ser>
          <c:idx val="0"/>
          <c:order val="0"/>
          <c:tx>
            <c:strRef>
              <c:f>'6. Pricing template'!$D$36</c:f>
              <c:strCache>
                <c:ptCount val="1"/>
                <c:pt idx="0">
                  <c:v>Fixed operating costs per unit</c:v>
                </c:pt>
              </c:strCache>
            </c:strRef>
          </c:tx>
          <c:spPr>
            <a:solidFill>
              <a:srgbClr val="2B7AAF"/>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template'!$D$37:$D$56</c:f>
              <c:numCache>
                <c:formatCode>_(* #,##0.0000_);_(* \(#,##0.0000\);_(* "-"_);_(@_)</c:formatCode>
                <c:ptCount val="20"/>
                <c:pt idx="0">
                  <c:v>0.18323912526268807</c:v>
                </c:pt>
                <c:pt idx="1">
                  <c:v>0.27111039011667903</c:v>
                </c:pt>
                <c:pt idx="2">
                  <c:v>0</c:v>
                </c:pt>
                <c:pt idx="3">
                  <c:v>0</c:v>
                </c:pt>
                <c:pt idx="4">
                  <c:v>0</c:v>
                </c:pt>
                <c:pt idx="5">
                  <c:v>0</c:v>
                </c:pt>
                <c:pt idx="6">
                  <c:v>0</c:v>
                </c:pt>
                <c:pt idx="7">
                  <c:v>0</c:v>
                </c:pt>
                <c:pt idx="8">
                  <c:v>0</c:v>
                </c:pt>
                <c:pt idx="9">
                  <c:v>0</c:v>
                </c:pt>
                <c:pt idx="10">
                  <c:v>9.1689579978817229E-2</c:v>
                </c:pt>
                <c:pt idx="11">
                  <c:v>0.13565878882064972</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3F32-4C4F-9530-021933D87567}"/>
            </c:ext>
          </c:extLst>
        </c:ser>
        <c:ser>
          <c:idx val="1"/>
          <c:order val="1"/>
          <c:tx>
            <c:strRef>
              <c:f>'6. Pricing template'!$E$36</c:f>
              <c:strCache>
                <c:ptCount val="1"/>
                <c:pt idx="0">
                  <c:v>Return of capital per unit</c:v>
                </c:pt>
              </c:strCache>
            </c:strRef>
          </c:tx>
          <c:spPr>
            <a:solidFill>
              <a:schemeClr val="accent6">
                <a:lumMod val="60000"/>
                <a:lumOff val="40000"/>
              </a:schemeClr>
            </a:solidFill>
            <a:ln>
              <a:noFill/>
            </a:ln>
            <a:effectLst/>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template'!$E$37:$E$56</c:f>
              <c:numCache>
                <c:formatCode>_(* #,##0.0000_);_(* \(#,##0.0000\);_(* "-"_);_(@_)</c:formatCode>
                <c:ptCount val="20"/>
                <c:pt idx="0">
                  <c:v>0</c:v>
                </c:pt>
                <c:pt idx="1">
                  <c:v>0.15532246610356965</c:v>
                </c:pt>
                <c:pt idx="2">
                  <c:v>0</c:v>
                </c:pt>
                <c:pt idx="3">
                  <c:v>0</c:v>
                </c:pt>
                <c:pt idx="4">
                  <c:v>0</c:v>
                </c:pt>
                <c:pt idx="5">
                  <c:v>0</c:v>
                </c:pt>
                <c:pt idx="6">
                  <c:v>0</c:v>
                </c:pt>
                <c:pt idx="7">
                  <c:v>0</c:v>
                </c:pt>
                <c:pt idx="8">
                  <c:v>0</c:v>
                </c:pt>
                <c:pt idx="9">
                  <c:v>0</c:v>
                </c:pt>
                <c:pt idx="10">
                  <c:v>0</c:v>
                </c:pt>
                <c:pt idx="11">
                  <c:v>7.7720583188192513E-2</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3F32-4C4F-9530-021933D87567}"/>
            </c:ext>
          </c:extLst>
        </c:ser>
        <c:ser>
          <c:idx val="2"/>
          <c:order val="2"/>
          <c:tx>
            <c:strRef>
              <c:f>'6. Pricing template'!$F$36</c:f>
              <c:strCache>
                <c:ptCount val="1"/>
                <c:pt idx="0">
                  <c:v>Return on capital &amp; Tax per unit</c:v>
                </c:pt>
              </c:strCache>
            </c:strRef>
          </c:tx>
          <c:spPr>
            <a:solidFill>
              <a:srgbClr val="FFECC9"/>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template'!$F$37:$F$56</c:f>
              <c:numCache>
                <c:formatCode>_(* #,##0.0000_);_(* \(#,##0.0000\);_(* "-"_);_(@_)</c:formatCode>
                <c:ptCount val="20"/>
                <c:pt idx="0">
                  <c:v>0.2364498171807502</c:v>
                </c:pt>
                <c:pt idx="1">
                  <c:v>0.2364498171807502</c:v>
                </c:pt>
                <c:pt idx="2">
                  <c:v>0</c:v>
                </c:pt>
                <c:pt idx="3">
                  <c:v>0</c:v>
                </c:pt>
                <c:pt idx="4">
                  <c:v>0</c:v>
                </c:pt>
                <c:pt idx="5">
                  <c:v>0</c:v>
                </c:pt>
                <c:pt idx="6">
                  <c:v>0</c:v>
                </c:pt>
                <c:pt idx="7">
                  <c:v>0</c:v>
                </c:pt>
                <c:pt idx="8">
                  <c:v>0</c:v>
                </c:pt>
                <c:pt idx="9">
                  <c:v>0</c:v>
                </c:pt>
                <c:pt idx="10">
                  <c:v>0.11827765984763092</c:v>
                </c:pt>
                <c:pt idx="11">
                  <c:v>0.11827765984763092</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F32-4C4F-9530-021933D87567}"/>
            </c:ext>
          </c:extLst>
        </c:ser>
        <c:dLbls>
          <c:showLegendKey val="0"/>
          <c:showVal val="0"/>
          <c:showCatName val="0"/>
          <c:showSerName val="0"/>
          <c:showPercent val="0"/>
          <c:showBubbleSize val="0"/>
        </c:dLbls>
        <c:gapWidth val="34"/>
        <c:overlap val="100"/>
        <c:axId val="409453263"/>
        <c:axId val="1"/>
      </c:barChart>
      <c:lineChart>
        <c:grouping val="standard"/>
        <c:varyColors val="0"/>
        <c:ser>
          <c:idx val="3"/>
          <c:order val="3"/>
          <c:tx>
            <c:strRef>
              <c:f>'6. Pricing template'!$G$36</c:f>
              <c:strCache>
                <c:ptCount val="1"/>
                <c:pt idx="0">
                  <c:v>Total cost per unit</c:v>
                </c:pt>
              </c:strCache>
            </c:strRef>
          </c:tx>
          <c:spPr>
            <a:ln w="28575">
              <a:noFill/>
            </a:ln>
          </c:spPr>
          <c:marker>
            <c:symbol val="none"/>
          </c:marker>
          <c:dLbls>
            <c:numFmt formatCode="_-\$* #,##0.0000_-;\-\$* #,##0.0000_-;_-\$* &quot;-&quot;????_-;_-@_-" sourceLinked="0"/>
            <c:spPr>
              <a:noFill/>
              <a:ln w="25400">
                <a:noFill/>
              </a:ln>
            </c:spPr>
            <c:txPr>
              <a:bodyPr wrap="square" lIns="38100" tIns="19050" rIns="38100" bIns="19050" anchor="ctr">
                <a:spAutoFit/>
              </a:bodyPr>
              <a:lstStyle/>
              <a:p>
                <a:pPr>
                  <a:defRPr sz="1200" b="1" i="0" u="none" strike="noStrike" baseline="0">
                    <a:solidFill>
                      <a:srgbClr val="333333"/>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template'!$B$37:$C$54</c:f>
              <c:multiLvlStrCache>
                <c:ptCount val="18"/>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lvl>
              </c:multiLvlStrCache>
            </c:multiLvlStrRef>
          </c:cat>
          <c:val>
            <c:numRef>
              <c:f>'6. Pricing template'!$G$37:$G$56</c:f>
              <c:numCache>
                <c:formatCode>_(* #,##0.0000_);_(* \(#,##0.0000\);_(* "-"_);_(@_)</c:formatCode>
                <c:ptCount val="20"/>
                <c:pt idx="0">
                  <c:v>0.41968894244343824</c:v>
                </c:pt>
                <c:pt idx="1">
                  <c:v>0.66288267340099893</c:v>
                </c:pt>
                <c:pt idx="2">
                  <c:v>0</c:v>
                </c:pt>
                <c:pt idx="3">
                  <c:v>0</c:v>
                </c:pt>
                <c:pt idx="4">
                  <c:v>0</c:v>
                </c:pt>
                <c:pt idx="5">
                  <c:v>0</c:v>
                </c:pt>
                <c:pt idx="6">
                  <c:v>0</c:v>
                </c:pt>
                <c:pt idx="7">
                  <c:v>0</c:v>
                </c:pt>
                <c:pt idx="8">
                  <c:v>0</c:v>
                </c:pt>
                <c:pt idx="9">
                  <c:v>0</c:v>
                </c:pt>
                <c:pt idx="10">
                  <c:v>0.20996723982644816</c:v>
                </c:pt>
                <c:pt idx="11">
                  <c:v>0.33165703185647311</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3F32-4C4F-9530-021933D87567}"/>
            </c:ext>
          </c:extLst>
        </c:ser>
        <c:dLbls>
          <c:showLegendKey val="0"/>
          <c:showVal val="0"/>
          <c:showCatName val="0"/>
          <c:showSerName val="0"/>
          <c:showPercent val="0"/>
          <c:showBubbleSize val="0"/>
        </c:dLbls>
        <c:marker val="1"/>
        <c:smooth val="0"/>
        <c:axId val="409453263"/>
        <c:axId val="1"/>
      </c:lineChart>
      <c:catAx>
        <c:axId val="409453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333333"/>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1" i="0" u="none" strike="noStrike" baseline="0">
                    <a:solidFill>
                      <a:srgbClr val="000000"/>
                    </a:solidFill>
                    <a:latin typeface="Calibri"/>
                    <a:ea typeface="Calibri"/>
                    <a:cs typeface="Calibri"/>
                  </a:defRPr>
                </a:pPr>
                <a:r>
                  <a:rPr lang="en-US"/>
                  <a:t>Benchmark Prices ($)</a:t>
                </a:r>
              </a:p>
            </c:rich>
          </c:tx>
          <c:overlay val="0"/>
        </c:title>
        <c:numFmt formatCode="_(* #,##0.0000_);_(* \(#,##0.0000\);_(* &quot;-&quot;_);_(@_)"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409453263"/>
        <c:crosses val="autoZero"/>
        <c:crossBetween val="between"/>
      </c:valAx>
      <c:spPr>
        <a:noFill/>
        <a:ln w="25400">
          <a:noFill/>
        </a:ln>
      </c:spPr>
    </c:plotArea>
    <c:legend>
      <c:legendPos val="b"/>
      <c:legendEntry>
        <c:idx val="3"/>
        <c:delete val="1"/>
      </c:legendEntry>
      <c:layout>
        <c:manualLayout>
          <c:xMode val="edge"/>
          <c:yMode val="edge"/>
          <c:x val="0.28805547230471623"/>
          <c:y val="0.97358807963302041"/>
          <c:w val="0.42042103733573094"/>
          <c:h val="1.76288235129195E-2"/>
        </c:manualLayout>
      </c:layout>
      <c:overlay val="0"/>
      <c:spPr>
        <a:noFill/>
        <a:ln w="25400">
          <a:noFill/>
        </a:ln>
      </c:spPr>
      <c:txPr>
        <a:bodyPr/>
        <a:lstStyle/>
        <a:p>
          <a:pPr>
            <a:defRPr sz="101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273050</xdr:colOff>
      <xdr:row>0</xdr:row>
      <xdr:rowOff>723900</xdr:rowOff>
    </xdr:to>
    <xdr:pic>
      <xdr:nvPicPr>
        <xdr:cNvPr id="11243" name="Picture 2">
          <a:extLst>
            <a:ext uri="{FF2B5EF4-FFF2-40B4-BE49-F238E27FC236}">
              <a16:creationId xmlns:a16="http://schemas.microsoft.com/office/drawing/2014/main" id="{9B40FA9C-2C20-AE72-F8D1-22BE6E67B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29432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76200</xdr:rowOff>
    </xdr:to>
    <xdr:pic>
      <xdr:nvPicPr>
        <xdr:cNvPr id="1740054" name="Picture 1">
          <a:hlinkClick xmlns:r="http://schemas.openxmlformats.org/officeDocument/2006/relationships" r:id="rId1"/>
          <a:extLst>
            <a:ext uri="{FF2B5EF4-FFF2-40B4-BE49-F238E27FC236}">
              <a16:creationId xmlns:a16="http://schemas.microsoft.com/office/drawing/2014/main" id="{15B012ED-0587-F79E-BB18-C3C645097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3</xdr:row>
      <xdr:rowOff>38100</xdr:rowOff>
    </xdr:to>
    <xdr:pic>
      <xdr:nvPicPr>
        <xdr:cNvPr id="1741078" name="Picture 1">
          <a:hlinkClick xmlns:r="http://schemas.openxmlformats.org/officeDocument/2006/relationships" r:id="rId1"/>
          <a:extLst>
            <a:ext uri="{FF2B5EF4-FFF2-40B4-BE49-F238E27FC236}">
              <a16:creationId xmlns:a16="http://schemas.microsoft.com/office/drawing/2014/main" id="{0AF5C67F-E45E-9A5D-EE40-D57A6892F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42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82550</xdr:rowOff>
    </xdr:to>
    <xdr:pic>
      <xdr:nvPicPr>
        <xdr:cNvPr id="1742131" name="Picture 1">
          <a:hlinkClick xmlns:r="http://schemas.openxmlformats.org/officeDocument/2006/relationships" r:id="rId1"/>
          <a:extLst>
            <a:ext uri="{FF2B5EF4-FFF2-40B4-BE49-F238E27FC236}">
              <a16:creationId xmlns:a16="http://schemas.microsoft.com/office/drawing/2014/main" id="{66A07DFC-E26A-F6D6-148D-DE21D18966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360214" name="Picture 1">
          <a:hlinkClick xmlns:r="http://schemas.openxmlformats.org/officeDocument/2006/relationships" r:id="rId1"/>
          <a:extLst>
            <a:ext uri="{FF2B5EF4-FFF2-40B4-BE49-F238E27FC236}">
              <a16:creationId xmlns:a16="http://schemas.microsoft.com/office/drawing/2014/main" id="{2F225548-12A3-3A72-4B83-354AB1C481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43126" name="Picture 1">
          <a:hlinkClick xmlns:r="http://schemas.openxmlformats.org/officeDocument/2006/relationships" r:id="rId1"/>
          <a:extLst>
            <a:ext uri="{FF2B5EF4-FFF2-40B4-BE49-F238E27FC236}">
              <a16:creationId xmlns:a16="http://schemas.microsoft.com/office/drawing/2014/main" id="{5AA29FE2-7F21-DA1F-9B27-CADCB451EE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74401" name="Group 1">
          <a:extLst>
            <a:ext uri="{FF2B5EF4-FFF2-40B4-BE49-F238E27FC236}">
              <a16:creationId xmlns:a16="http://schemas.microsoft.com/office/drawing/2014/main" id="{C378B13E-4CDA-A70B-E850-F4F66B45A578}"/>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58C8E5C4-B400-FB28-5F1F-1ED8103B1C7F}"/>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407" name="Picture 3">
            <a:extLst>
              <a:ext uri="{FF2B5EF4-FFF2-40B4-BE49-F238E27FC236}">
                <a16:creationId xmlns:a16="http://schemas.microsoft.com/office/drawing/2014/main" id="{E9DD65A2-2CB3-0ECE-8E85-D1B771288B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874402" name="Group 7">
          <a:extLst>
            <a:ext uri="{FF2B5EF4-FFF2-40B4-BE49-F238E27FC236}">
              <a16:creationId xmlns:a16="http://schemas.microsoft.com/office/drawing/2014/main" id="{8668F551-505C-526C-715E-DDFC9C94C58E}"/>
            </a:ext>
          </a:extLst>
        </xdr:cNvPr>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951A98CF-8365-6572-1F14-3301BC812A29}"/>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405" name="Picture 9">
            <a:extLst>
              <a:ext uri="{FF2B5EF4-FFF2-40B4-BE49-F238E27FC236}">
                <a16:creationId xmlns:a16="http://schemas.microsoft.com/office/drawing/2014/main" id="{3B3137D7-E439-94E8-500E-46250AE8CE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114300</xdr:rowOff>
    </xdr:to>
    <xdr:pic>
      <xdr:nvPicPr>
        <xdr:cNvPr id="2874403" name="Picture 1">
          <a:hlinkClick xmlns:r="http://schemas.openxmlformats.org/officeDocument/2006/relationships" r:id="rId1"/>
          <a:extLst>
            <a:ext uri="{FF2B5EF4-FFF2-40B4-BE49-F238E27FC236}">
              <a16:creationId xmlns:a16="http://schemas.microsoft.com/office/drawing/2014/main" id="{FD7EDC1E-3C61-8EAF-BDB2-68791F78FA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76200</xdr:rowOff>
    </xdr:to>
    <xdr:pic>
      <xdr:nvPicPr>
        <xdr:cNvPr id="1744155" name="Picture 1">
          <a:hlinkClick xmlns:r="http://schemas.openxmlformats.org/officeDocument/2006/relationships" r:id="rId1"/>
          <a:extLst>
            <a:ext uri="{FF2B5EF4-FFF2-40B4-BE49-F238E27FC236}">
              <a16:creationId xmlns:a16="http://schemas.microsoft.com/office/drawing/2014/main" id="{83E03DB6-EFD8-207C-CAA7-CE68540668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45175" name="Picture 1">
          <a:hlinkClick xmlns:r="http://schemas.openxmlformats.org/officeDocument/2006/relationships" r:id="rId1"/>
          <a:extLst>
            <a:ext uri="{FF2B5EF4-FFF2-40B4-BE49-F238E27FC236}">
              <a16:creationId xmlns:a16="http://schemas.microsoft.com/office/drawing/2014/main" id="{F52FA201-E67A-6A26-AD9A-D6EC8E2F3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104775</xdr:rowOff>
    </xdr:to>
    <xdr:pic>
      <xdr:nvPicPr>
        <xdr:cNvPr id="1746199" name="Picture 1">
          <a:hlinkClick xmlns:r="http://schemas.openxmlformats.org/officeDocument/2006/relationships" r:id="rId1"/>
          <a:extLst>
            <a:ext uri="{FF2B5EF4-FFF2-40B4-BE49-F238E27FC236}">
              <a16:creationId xmlns:a16="http://schemas.microsoft.com/office/drawing/2014/main" id="{42507C4F-8815-4586-A61D-812AE2FE46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57150</xdr:rowOff>
    </xdr:to>
    <xdr:pic>
      <xdr:nvPicPr>
        <xdr:cNvPr id="1747222" name="Picture 1">
          <a:hlinkClick xmlns:r="http://schemas.openxmlformats.org/officeDocument/2006/relationships" r:id="rId1"/>
          <a:extLst>
            <a:ext uri="{FF2B5EF4-FFF2-40B4-BE49-F238E27FC236}">
              <a16:creationId xmlns:a16="http://schemas.microsoft.com/office/drawing/2014/main" id="{482307B3-A597-E280-7BB7-321003B59A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28790" name="Picture 1">
          <a:hlinkClick xmlns:r="http://schemas.openxmlformats.org/officeDocument/2006/relationships" r:id="rId1"/>
          <a:extLst>
            <a:ext uri="{FF2B5EF4-FFF2-40B4-BE49-F238E27FC236}">
              <a16:creationId xmlns:a16="http://schemas.microsoft.com/office/drawing/2014/main" id="{25EF746B-1AD0-FACB-FB39-6040E6700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28575</xdr:rowOff>
    </xdr:to>
    <xdr:pic>
      <xdr:nvPicPr>
        <xdr:cNvPr id="1748246" name="Picture 1">
          <a:hlinkClick xmlns:r="http://schemas.openxmlformats.org/officeDocument/2006/relationships" r:id="rId1"/>
          <a:extLst>
            <a:ext uri="{FF2B5EF4-FFF2-40B4-BE49-F238E27FC236}">
              <a16:creationId xmlns:a16="http://schemas.microsoft.com/office/drawing/2014/main" id="{82B1EB4D-9D51-A62F-2512-E2C7C9E690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82550</xdr:rowOff>
    </xdr:to>
    <xdr:pic>
      <xdr:nvPicPr>
        <xdr:cNvPr id="1749271" name="Picture 1">
          <a:hlinkClick xmlns:r="http://schemas.openxmlformats.org/officeDocument/2006/relationships" r:id="rId1"/>
          <a:extLst>
            <a:ext uri="{FF2B5EF4-FFF2-40B4-BE49-F238E27FC236}">
              <a16:creationId xmlns:a16="http://schemas.microsoft.com/office/drawing/2014/main" id="{14DFF198-15A9-CAEB-6AD2-153C1B41A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266700</xdr:colOff>
      <xdr:row>56</xdr:row>
      <xdr:rowOff>133350</xdr:rowOff>
    </xdr:to>
    <xdr:graphicFrame macro="">
      <xdr:nvGraphicFramePr>
        <xdr:cNvPr id="2797656" name="Chart 7">
          <a:extLst>
            <a:ext uri="{FF2B5EF4-FFF2-40B4-BE49-F238E27FC236}">
              <a16:creationId xmlns:a16="http://schemas.microsoft.com/office/drawing/2014/main" id="{387147FD-B5C4-CC4E-3BEA-AADCA63FB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276225</xdr:colOff>
      <xdr:row>7</xdr:row>
      <xdr:rowOff>9525</xdr:rowOff>
    </xdr:from>
    <xdr:to>
      <xdr:col>9</xdr:col>
      <xdr:colOff>4962525</xdr:colOff>
      <xdr:row>56</xdr:row>
      <xdr:rowOff>133350</xdr:rowOff>
    </xdr:to>
    <xdr:graphicFrame macro="">
      <xdr:nvGraphicFramePr>
        <xdr:cNvPr id="2797657" name="Chart 8">
          <a:extLst>
            <a:ext uri="{FF2B5EF4-FFF2-40B4-BE49-F238E27FC236}">
              <a16:creationId xmlns:a16="http://schemas.microsoft.com/office/drawing/2014/main" id="{833A0A35-B768-AFA5-C135-638D1D2B3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59</xdr:row>
      <xdr:rowOff>57150</xdr:rowOff>
    </xdr:from>
    <xdr:to>
      <xdr:col>9</xdr:col>
      <xdr:colOff>390525</xdr:colOff>
      <xdr:row>108</xdr:row>
      <xdr:rowOff>9525</xdr:rowOff>
    </xdr:to>
    <xdr:graphicFrame macro="">
      <xdr:nvGraphicFramePr>
        <xdr:cNvPr id="2797658" name="Chart 11">
          <a:extLst>
            <a:ext uri="{FF2B5EF4-FFF2-40B4-BE49-F238E27FC236}">
              <a16:creationId xmlns:a16="http://schemas.microsoft.com/office/drawing/2014/main" id="{B52BB0D4-66D3-C74D-BEF9-0657D1856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781050</xdr:colOff>
      <xdr:row>3</xdr:row>
      <xdr:rowOff>57150</xdr:rowOff>
    </xdr:to>
    <xdr:pic>
      <xdr:nvPicPr>
        <xdr:cNvPr id="2797659" name="Picture 1">
          <a:hlinkClick xmlns:r="http://schemas.openxmlformats.org/officeDocument/2006/relationships" r:id="rId4"/>
          <a:extLst>
            <a:ext uri="{FF2B5EF4-FFF2-40B4-BE49-F238E27FC236}">
              <a16:creationId xmlns:a16="http://schemas.microsoft.com/office/drawing/2014/main" id="{26B42CCE-8F10-AD17-F5B4-FA3CC752300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6</xdr:col>
      <xdr:colOff>742950</xdr:colOff>
      <xdr:row>91</xdr:row>
      <xdr:rowOff>133350</xdr:rowOff>
    </xdr:to>
    <xdr:graphicFrame macro="">
      <xdr:nvGraphicFramePr>
        <xdr:cNvPr id="2816037" name="Chart 1">
          <a:extLst>
            <a:ext uri="{FF2B5EF4-FFF2-40B4-BE49-F238E27FC236}">
              <a16:creationId xmlns:a16="http://schemas.microsoft.com/office/drawing/2014/main" id="{5FC95631-78E4-0166-6B51-E152BA29A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781050</xdr:colOff>
      <xdr:row>3</xdr:row>
      <xdr:rowOff>85725</xdr:rowOff>
    </xdr:to>
    <xdr:pic>
      <xdr:nvPicPr>
        <xdr:cNvPr id="2816038" name="Picture 1">
          <a:hlinkClick xmlns:r="http://schemas.openxmlformats.org/officeDocument/2006/relationships" r:id="rId2"/>
          <a:extLst>
            <a:ext uri="{FF2B5EF4-FFF2-40B4-BE49-F238E27FC236}">
              <a16:creationId xmlns:a16="http://schemas.microsoft.com/office/drawing/2014/main" id="{B09C5BEF-9695-2EB3-0672-451680D4D9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351004" name="Group 1">
          <a:extLst>
            <a:ext uri="{FF2B5EF4-FFF2-40B4-BE49-F238E27FC236}">
              <a16:creationId xmlns:a16="http://schemas.microsoft.com/office/drawing/2014/main" id="{ECCB5BBB-F76B-F8C6-89B4-D268C618BC78}"/>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EA62303A-346A-0A36-AB12-A912A9C5FC84}"/>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351010" name="Picture 3">
            <a:extLst>
              <a:ext uri="{FF2B5EF4-FFF2-40B4-BE49-F238E27FC236}">
                <a16:creationId xmlns:a16="http://schemas.microsoft.com/office/drawing/2014/main" id="{7433CF9D-030A-147E-FABF-22E1C6846E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351005" name="Group 7">
          <a:extLst>
            <a:ext uri="{FF2B5EF4-FFF2-40B4-BE49-F238E27FC236}">
              <a16:creationId xmlns:a16="http://schemas.microsoft.com/office/drawing/2014/main" id="{F339A29A-95D4-0151-52B0-61C7C553A89B}"/>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3A559744-29C9-03D9-8BC0-3190860D32F2}"/>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351008" name="Picture 9">
            <a:extLst>
              <a:ext uri="{FF2B5EF4-FFF2-40B4-BE49-F238E27FC236}">
                <a16:creationId xmlns:a16="http://schemas.microsoft.com/office/drawing/2014/main" id="{F413694C-7994-F58F-9007-368611E6A0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47625</xdr:rowOff>
    </xdr:to>
    <xdr:pic>
      <xdr:nvPicPr>
        <xdr:cNvPr id="2351006" name="Picture 1">
          <a:hlinkClick xmlns:r="http://schemas.openxmlformats.org/officeDocument/2006/relationships" r:id="rId1"/>
          <a:extLst>
            <a:ext uri="{FF2B5EF4-FFF2-40B4-BE49-F238E27FC236}">
              <a16:creationId xmlns:a16="http://schemas.microsoft.com/office/drawing/2014/main" id="{EBDE0420-5854-6507-F523-3664EB0E4E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104775</xdr:rowOff>
    </xdr:to>
    <xdr:pic>
      <xdr:nvPicPr>
        <xdr:cNvPr id="1735958" name="Picture 1">
          <a:hlinkClick xmlns:r="http://schemas.openxmlformats.org/officeDocument/2006/relationships" r:id="rId1"/>
          <a:extLst>
            <a:ext uri="{FF2B5EF4-FFF2-40B4-BE49-F238E27FC236}">
              <a16:creationId xmlns:a16="http://schemas.microsoft.com/office/drawing/2014/main" id="{35E916ED-10A1-813F-84D2-4894721EE5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82550</xdr:rowOff>
    </xdr:to>
    <xdr:pic>
      <xdr:nvPicPr>
        <xdr:cNvPr id="1736982" name="Picture 1">
          <a:hlinkClick xmlns:r="http://schemas.openxmlformats.org/officeDocument/2006/relationships" r:id="rId1"/>
          <a:extLst>
            <a:ext uri="{FF2B5EF4-FFF2-40B4-BE49-F238E27FC236}">
              <a16:creationId xmlns:a16="http://schemas.microsoft.com/office/drawing/2014/main" id="{32265E47-520A-E980-D384-D568CA79E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38012" name="Picture 3">
          <a:hlinkClick xmlns:r="http://schemas.openxmlformats.org/officeDocument/2006/relationships" r:id="rId1"/>
          <a:extLst>
            <a:ext uri="{FF2B5EF4-FFF2-40B4-BE49-F238E27FC236}">
              <a16:creationId xmlns:a16="http://schemas.microsoft.com/office/drawing/2014/main" id="{2C4730E1-AFCC-E32D-33DE-80DE154B9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02776" name="Group 1">
          <a:extLst>
            <a:ext uri="{FF2B5EF4-FFF2-40B4-BE49-F238E27FC236}">
              <a16:creationId xmlns:a16="http://schemas.microsoft.com/office/drawing/2014/main" id="{54AA4905-7CB3-F5AF-D553-B1192C2AFB6A}"/>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11335800-8BFE-27B3-60ED-B52F786D968B}"/>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02779" name="Picture 3">
            <a:extLst>
              <a:ext uri="{FF2B5EF4-FFF2-40B4-BE49-F238E27FC236}">
                <a16:creationId xmlns:a16="http://schemas.microsoft.com/office/drawing/2014/main" id="{0134BD66-8D85-AC65-EBD1-2433EA5AA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85725</xdr:rowOff>
    </xdr:to>
    <xdr:pic>
      <xdr:nvPicPr>
        <xdr:cNvPr id="2802777" name="Picture 1">
          <a:hlinkClick xmlns:r="http://schemas.openxmlformats.org/officeDocument/2006/relationships" r:id="rId1"/>
          <a:extLst>
            <a:ext uri="{FF2B5EF4-FFF2-40B4-BE49-F238E27FC236}">
              <a16:creationId xmlns:a16="http://schemas.microsoft.com/office/drawing/2014/main" id="{C9F26DE6-6365-9126-466F-5C217D68FB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COM%20-%20Commercial\COM.01%20Accounting%20&amp;%20Tax\COM.01.015%20Regulatory%20Reporting\Part%2010%20Reporting\02%20Reporting%20Years\FY2425\Working%20papers\Revenue\20250630_Pt10_Revenue_PCA%20PCI_ANI%20Update.xlsx" TargetMode="External"/><Relationship Id="rId1" Type="http://schemas.openxmlformats.org/officeDocument/2006/relationships/externalLinkPath" Target="file:///M:\COM%20-%20Commercial\COM.01%20Accounting%20&amp;%20Tax\COM.01.015%20Regulatory%20Reporting\Part%2010%20Reporting\02%20Reporting%20Years\FY2425\Working%20papers\Revenue\20250630_Pt10_Revenue_PCA%20PCI_ANI%20Update.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M:\COM%20-%20Commercial\COM.01%20Accounting%20&amp;%20Tax\COM.01.015%20Regulatory%20Reporting\Part%2010%20Reporting\02%20Reporting%20Years\FY2425\Working%20papers\Expenses%20&amp;%20RCM\AER%20-%20Final%20-%20Part%2010%20financial%20reporting%20template_Expenses_PCA.xlsx" TargetMode="External"/><Relationship Id="rId2" Type="http://schemas.microsoft.com/office/2019/04/relationships/externalLinkLongPath" Target="file:///\\seagas.local\data\Document_Control\COM%20-%20Commercial\COM.01%20Accounting%20&amp;%20Tax\COM.01.015%20Regulatory%20Reporting\Part%2010%20Reporting\02%20Reporting%20Years\FY2425\Working%20papers\Expenses%20&amp;%20RCM\AER%20-%20Final%20-%20Part%2010%20financial%20reporting%20template_Expenses_PCA.xlsx?B96B8780" TargetMode="External"/><Relationship Id="rId1" Type="http://schemas.openxmlformats.org/officeDocument/2006/relationships/externalLinkPath" Target="file:///\\B96B8780\AER%20-%20Final%20-%20Part%2010%20financial%20reporting%20template_Expenses_P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Revenue and expenses_PCA"/>
      <sheetName val="2. Revenue and expenses_PCI"/>
      <sheetName val="2.1 Profit &amp; Loss by comp_PCA"/>
      <sheetName val="2.1 Profit &amp; Loss by comp_PCI"/>
      <sheetName val="2.2 Allocation to services_PCA"/>
      <sheetName val="2.2 Allocation to services_ PCI"/>
      <sheetName val="2.3 Revenue contributions_PCA "/>
      <sheetName val="2.3 Revenue contributions_PCI"/>
      <sheetName val="2.4 Indirect revenue_PCA"/>
      <sheetName val="2.4 Indirect revenue_PCI"/>
      <sheetName val="FY25 Revenue Data"/>
      <sheetName val="PBI Export FY25 v2"/>
      <sheetName val="CIA 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9">
          <cell r="E29">
            <v>0.95177103644867878</v>
          </cell>
        </row>
        <row r="32">
          <cell r="B32">
            <v>1119936</v>
          </cell>
        </row>
        <row r="51">
          <cell r="L51">
            <v>268672</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Contents"/>
      <sheetName val="Financial summary"/>
      <sheetName val="Data visualisation"/>
      <sheetName val="Pricing benchmarks summary"/>
      <sheetName val="1. Pipeline information"/>
      <sheetName val="2. Revenue and expenses"/>
      <sheetName val="2.1 Profit &amp; Loss by component"/>
      <sheetName val="2.2 Allocation to services"/>
      <sheetName val="2.3 Revenue contributions "/>
      <sheetName val="2.4 Indirect revenue"/>
      <sheetName val="2.5 Shared expenses"/>
      <sheetName val="i.FY25 OPEX"/>
      <sheetName val="3.1 Depreciated Book Value"/>
      <sheetName val="3.2 Regulatory Asset Base"/>
      <sheetName val="3.3 Asset useful life"/>
      <sheetName val="3.4 Asset impairment"/>
      <sheetName val="3.5 Depreciation amortisation"/>
      <sheetName val="3.6 Shared supporting assets"/>
      <sheetName val="i.Yr by Yr Capital Exp"/>
      <sheetName val="4. Recovered Capital"/>
      <sheetName val="4.1 Pipelines capex"/>
      <sheetName val="5. Historical demand"/>
      <sheetName val="6. Pricing template"/>
      <sheetName val="Sheet1"/>
      <sheetName val="Amendment recor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31">
          <cell r="V531">
            <v>1002083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23" totalsRowShown="0" headerRowDxfId="92" dataDxfId="91">
  <autoFilter ref="A1:G123" xr:uid="{00000000-0009-0000-0100-000001000000}"/>
  <tableColumns count="7">
    <tableColumn id="1" xr3:uid="{00000000-0010-0000-0000-000001000000}" name="Date" dataDxfId="90"/>
    <tableColumn id="2" xr3:uid="{00000000-0010-0000-0000-000002000000}" name="AER amendment#" dataDxfId="89"/>
    <tableColumn id="3" xr3:uid="{00000000-0010-0000-0000-000003000000}" name="Worksheet" dataDxfId="88"/>
    <tableColumn id="4" xr3:uid="{00000000-0010-0000-0000-000004000000}" name="Table" dataDxfId="87"/>
    <tableColumn id="5" xr3:uid="{00000000-0010-0000-0000-000005000000}" name="Cell" dataDxfId="86"/>
    <tableColumn id="6" xr3:uid="{00000000-0010-0000-0000-000006000000}" name="Change" dataDxfId="85"/>
    <tableColumn id="7" xr3:uid="{00000000-0010-0000-0000-000007000000}" name="Reason" dataDxfId="8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spDef>
    <a:ln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cretariat@seagas.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seagas.com.au/services/reports/service-usage/" TargetMode="External"/><Relationship Id="rId2" Type="http://schemas.openxmlformats.org/officeDocument/2006/relationships/hyperlink" Target="https://www.aemo.com.au/energy-systems/gas/gas-bulletin-board-gbb/data-gbb/gas-flows" TargetMode="External"/><Relationship Id="rId1" Type="http://schemas.openxmlformats.org/officeDocument/2006/relationships/hyperlink" Target="https://www.aemo.com.au/energy-systems/gas/gas-bulletin-board-gbb/data-gbb/gas-flows" TargetMode="External"/><Relationship Id="rId6" Type="http://schemas.openxmlformats.org/officeDocument/2006/relationships/drawing" Target="../drawings/drawing20.xml"/><Relationship Id="rId5" Type="http://schemas.openxmlformats.org/officeDocument/2006/relationships/printerSettings" Target="../printerSettings/printerSettings21.bin"/><Relationship Id="rId4" Type="http://schemas.openxmlformats.org/officeDocument/2006/relationships/hyperlink" Target="https://seagas.com.au/services/pipeline-information/" TargetMode="Externa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1"/>
  <sheetViews>
    <sheetView tabSelected="1" zoomScale="85" zoomScaleNormal="85" workbookViewId="0">
      <pane ySplit="6" topLeftCell="A7" activePane="bottomLeft" state="frozen"/>
      <selection activeCell="A35" sqref="A35"/>
      <selection pane="bottomLeft" activeCell="A7" sqref="A7"/>
    </sheetView>
  </sheetViews>
  <sheetFormatPr defaultColWidth="9.140625" defaultRowHeight="12.75" x14ac:dyDescent="0.2"/>
  <cols>
    <col min="1" max="1" width="41" style="223" customWidth="1"/>
    <col min="2" max="2" width="23.5703125" style="223" customWidth="1"/>
    <col min="3" max="3" width="9.140625" style="223"/>
    <col min="4" max="4" width="10.5703125" style="223" customWidth="1"/>
    <col min="5" max="5" width="22.42578125" style="223" customWidth="1"/>
    <col min="6" max="8" width="11.140625" style="223" customWidth="1"/>
    <col min="9" max="9" width="12.140625" style="223" customWidth="1"/>
    <col min="10" max="10" width="14.5703125" style="223" customWidth="1"/>
    <col min="11" max="11" width="12.85546875" style="223" customWidth="1"/>
    <col min="12" max="13" width="9.140625" style="223"/>
    <col min="14" max="14" width="27.140625" style="223" customWidth="1"/>
    <col min="15" max="16384" width="9.140625" style="223"/>
  </cols>
  <sheetData>
    <row r="1" spans="1:11" ht="66" customHeight="1" x14ac:dyDescent="0.2"/>
    <row r="2" spans="1:11" ht="20.25" customHeight="1" x14ac:dyDescent="0.2">
      <c r="A2" s="224" t="s">
        <v>0</v>
      </c>
      <c r="B2" s="224"/>
      <c r="C2" s="224"/>
      <c r="D2" s="224"/>
      <c r="E2" s="224"/>
      <c r="F2" s="224"/>
      <c r="G2" s="224"/>
      <c r="H2" s="224"/>
      <c r="I2" s="224"/>
      <c r="J2" s="224"/>
      <c r="K2" s="224"/>
    </row>
    <row r="3" spans="1:11" ht="20.25" x14ac:dyDescent="0.2">
      <c r="A3" s="224" t="s">
        <v>1</v>
      </c>
      <c r="B3" s="224"/>
      <c r="C3" s="224"/>
      <c r="D3" s="224"/>
      <c r="E3" s="224"/>
      <c r="F3" s="224"/>
      <c r="G3" s="224"/>
      <c r="H3" s="224"/>
      <c r="I3" s="224"/>
      <c r="J3" s="224"/>
      <c r="K3" s="224"/>
    </row>
    <row r="4" spans="1:11" x14ac:dyDescent="0.2">
      <c r="A4" s="225"/>
      <c r="B4" s="225"/>
      <c r="C4" s="225"/>
      <c r="D4" s="225"/>
      <c r="E4" s="225"/>
      <c r="F4" s="225"/>
      <c r="G4" s="225"/>
      <c r="H4" s="225"/>
      <c r="I4" s="225"/>
      <c r="J4" s="225"/>
      <c r="K4" s="225"/>
    </row>
    <row r="5" spans="1:11" s="229" customFormat="1" ht="15.75" x14ac:dyDescent="0.2">
      <c r="A5" s="226" t="s">
        <v>2</v>
      </c>
      <c r="B5" s="227"/>
      <c r="C5" s="227"/>
      <c r="D5" s="227"/>
      <c r="E5" s="227"/>
      <c r="F5" s="227"/>
      <c r="G5" s="227"/>
      <c r="H5" s="227"/>
      <c r="I5" s="227"/>
      <c r="J5" s="228"/>
      <c r="K5" s="228"/>
    </row>
    <row r="6" spans="1:11" s="229" customFormat="1" ht="15.75" x14ac:dyDescent="0.2">
      <c r="A6" s="226" t="s">
        <v>3</v>
      </c>
      <c r="B6" s="227"/>
      <c r="C6" s="227"/>
      <c r="D6" s="227"/>
      <c r="E6" s="227"/>
      <c r="F6" s="227"/>
      <c r="G6" s="227"/>
      <c r="H6" s="227"/>
      <c r="I6" s="227"/>
      <c r="J6" s="228"/>
      <c r="K6" s="228"/>
    </row>
    <row r="7" spans="1:11" ht="15.75" thickBot="1" x14ac:dyDescent="0.25">
      <c r="A7" s="230"/>
      <c r="B7" s="230"/>
      <c r="C7" s="230"/>
      <c r="D7" s="230"/>
      <c r="E7" s="230"/>
      <c r="F7" s="230"/>
      <c r="G7" s="230"/>
      <c r="H7" s="230"/>
      <c r="I7" s="230"/>
      <c r="J7" s="225"/>
      <c r="K7" s="225"/>
    </row>
    <row r="8" spans="1:11" ht="12.75" customHeight="1" x14ac:dyDescent="0.2">
      <c r="A8" s="372" t="s">
        <v>4</v>
      </c>
      <c r="B8" s="373"/>
      <c r="C8" s="373"/>
      <c r="D8" s="373"/>
      <c r="E8" s="373"/>
      <c r="F8" s="373"/>
      <c r="G8" s="373"/>
      <c r="H8" s="373"/>
      <c r="I8" s="374"/>
      <c r="J8" s="225"/>
      <c r="K8" s="225"/>
    </row>
    <row r="9" spans="1:11" ht="15.75" x14ac:dyDescent="0.2">
      <c r="A9" s="231" t="s">
        <v>5</v>
      </c>
      <c r="B9" s="232"/>
      <c r="C9" s="232"/>
      <c r="D9" s="233"/>
      <c r="E9" s="233"/>
      <c r="F9" s="233"/>
      <c r="G9" s="233"/>
      <c r="H9" s="233"/>
      <c r="I9" s="234"/>
      <c r="J9" s="225"/>
      <c r="K9" s="225"/>
    </row>
    <row r="10" spans="1:11" ht="15.75" x14ac:dyDescent="0.2">
      <c r="A10" s="378" t="s">
        <v>6</v>
      </c>
      <c r="B10" s="379"/>
      <c r="C10" s="379"/>
      <c r="D10" s="379"/>
      <c r="E10" s="379"/>
      <c r="F10" s="379"/>
      <c r="G10" s="379"/>
      <c r="H10" s="379"/>
      <c r="I10" s="380"/>
      <c r="J10" s="225"/>
      <c r="K10" s="225"/>
    </row>
    <row r="11" spans="1:11" ht="16.5" thickBot="1" x14ac:dyDescent="0.25">
      <c r="A11" s="375" t="s">
        <v>7</v>
      </c>
      <c r="B11" s="376"/>
      <c r="C11" s="376"/>
      <c r="D11" s="376"/>
      <c r="E11" s="376"/>
      <c r="F11" s="376"/>
      <c r="G11" s="376"/>
      <c r="H11" s="376"/>
      <c r="I11" s="377"/>
      <c r="J11" s="225"/>
      <c r="K11" s="225"/>
    </row>
    <row r="12" spans="1:11" ht="15" x14ac:dyDescent="0.2">
      <c r="A12" s="381"/>
      <c r="B12" s="382"/>
      <c r="C12" s="382"/>
      <c r="D12" s="382"/>
      <c r="E12" s="382"/>
      <c r="F12" s="382"/>
      <c r="G12" s="382"/>
      <c r="H12" s="382"/>
      <c r="I12" s="382"/>
      <c r="J12" s="225"/>
      <c r="K12" s="225"/>
    </row>
    <row r="13" spans="1:11" ht="15.75" x14ac:dyDescent="0.2">
      <c r="A13" s="235" t="s">
        <v>8</v>
      </c>
      <c r="B13" s="230"/>
      <c r="C13" s="230"/>
      <c r="D13" s="230"/>
      <c r="E13" s="230"/>
      <c r="F13" s="230"/>
      <c r="G13" s="230"/>
      <c r="H13" s="230"/>
      <c r="I13" s="230"/>
      <c r="J13" s="225"/>
      <c r="K13" s="225"/>
    </row>
    <row r="14" spans="1:11" ht="15.75" x14ac:dyDescent="0.2">
      <c r="A14" s="236" t="s">
        <v>9</v>
      </c>
      <c r="B14" s="230"/>
      <c r="C14" s="230"/>
      <c r="D14" s="230"/>
      <c r="E14" s="230"/>
      <c r="F14" s="230"/>
      <c r="G14" s="230"/>
      <c r="H14" s="230"/>
      <c r="I14" s="230"/>
      <c r="J14" s="225"/>
      <c r="K14" s="225"/>
    </row>
    <row r="15" spans="1:11" x14ac:dyDescent="0.2">
      <c r="A15" s="225"/>
      <c r="B15" s="225"/>
      <c r="C15" s="225"/>
      <c r="D15" s="225"/>
      <c r="E15" s="225"/>
      <c r="F15" s="225"/>
      <c r="G15" s="225"/>
      <c r="H15" s="225"/>
      <c r="I15" s="225"/>
      <c r="J15" s="225"/>
      <c r="K15" s="225"/>
    </row>
    <row r="16" spans="1:11" x14ac:dyDescent="0.2">
      <c r="A16" s="225"/>
      <c r="B16" s="225"/>
      <c r="C16" s="225"/>
      <c r="D16" s="225"/>
      <c r="E16" s="225"/>
      <c r="F16" s="225"/>
      <c r="G16" s="225"/>
      <c r="H16" s="225"/>
      <c r="I16" s="225"/>
      <c r="J16" s="225"/>
      <c r="K16" s="225"/>
    </row>
    <row r="17" spans="1:11" ht="15.75" x14ac:dyDescent="0.2">
      <c r="A17" s="350" t="s">
        <v>10</v>
      </c>
      <c r="B17" s="371"/>
      <c r="C17" s="388" t="s">
        <v>689</v>
      </c>
      <c r="D17" s="389"/>
      <c r="E17" s="389"/>
      <c r="F17" s="230"/>
      <c r="G17" s="230"/>
      <c r="H17" s="230"/>
      <c r="I17" s="230"/>
      <c r="J17" s="230"/>
      <c r="K17" s="230"/>
    </row>
    <row r="18" spans="1:11" ht="15.75" x14ac:dyDescent="0.2">
      <c r="A18" s="236"/>
      <c r="B18" s="236"/>
      <c r="C18" s="237"/>
      <c r="D18" s="237"/>
      <c r="E18" s="237"/>
      <c r="F18" s="230"/>
      <c r="G18" s="230"/>
      <c r="H18" s="230"/>
      <c r="I18" s="230"/>
      <c r="J18" s="230"/>
      <c r="K18" s="230"/>
    </row>
    <row r="19" spans="1:11" ht="18" customHeight="1" x14ac:dyDescent="0.2">
      <c r="A19" s="350" t="s">
        <v>11</v>
      </c>
      <c r="B19" s="371"/>
      <c r="C19" s="388">
        <v>81366072976</v>
      </c>
      <c r="D19" s="389"/>
      <c r="E19" s="389"/>
      <c r="F19" s="230"/>
      <c r="G19" s="230"/>
      <c r="H19" s="230"/>
      <c r="I19" s="230"/>
      <c r="J19" s="230"/>
      <c r="K19" s="230"/>
    </row>
    <row r="20" spans="1:11" ht="15.75" x14ac:dyDescent="0.2">
      <c r="A20" s="236"/>
      <c r="B20" s="236"/>
      <c r="C20" s="383"/>
      <c r="D20" s="384"/>
      <c r="E20" s="384"/>
      <c r="F20" s="230"/>
      <c r="G20" s="230"/>
      <c r="H20" s="230"/>
      <c r="I20" s="230"/>
      <c r="J20" s="230"/>
      <c r="K20" s="230"/>
    </row>
    <row r="21" spans="1:11" ht="15.75" x14ac:dyDescent="0.2">
      <c r="A21" s="350" t="s">
        <v>12</v>
      </c>
      <c r="B21" s="351"/>
      <c r="C21" s="385" t="s">
        <v>690</v>
      </c>
      <c r="D21" s="386"/>
      <c r="E21" s="387"/>
      <c r="F21" s="230"/>
      <c r="G21" s="230"/>
      <c r="H21" s="230"/>
      <c r="I21" s="230"/>
      <c r="J21" s="230"/>
      <c r="K21" s="230"/>
    </row>
    <row r="22" spans="1:11" ht="15" x14ac:dyDescent="0.2">
      <c r="A22" s="230"/>
      <c r="B22" s="230"/>
      <c r="C22" s="237"/>
      <c r="D22" s="237"/>
      <c r="E22" s="237"/>
      <c r="F22" s="230"/>
      <c r="G22" s="230"/>
      <c r="H22" s="230"/>
      <c r="I22" s="230"/>
      <c r="J22" s="230"/>
      <c r="K22" s="230"/>
    </row>
    <row r="23" spans="1:11" ht="18" customHeight="1" x14ac:dyDescent="0.2">
      <c r="A23" s="350" t="s">
        <v>13</v>
      </c>
      <c r="B23" s="351"/>
      <c r="C23" s="385" t="s">
        <v>691</v>
      </c>
      <c r="D23" s="386"/>
      <c r="E23" s="387"/>
      <c r="F23" s="230"/>
      <c r="G23" s="230"/>
      <c r="H23" s="230"/>
      <c r="I23" s="230"/>
      <c r="J23" s="230"/>
      <c r="K23" s="230"/>
    </row>
    <row r="24" spans="1:11" ht="15" x14ac:dyDescent="0.2">
      <c r="A24" s="230"/>
      <c r="B24" s="230"/>
      <c r="C24" s="237"/>
      <c r="D24" s="237"/>
      <c r="E24" s="237"/>
      <c r="F24" s="230"/>
      <c r="G24" s="230"/>
      <c r="H24" s="230"/>
      <c r="I24" s="230"/>
      <c r="J24" s="230"/>
      <c r="K24" s="230"/>
    </row>
    <row r="25" spans="1:11" ht="15.75" x14ac:dyDescent="0.2">
      <c r="A25" s="350" t="s">
        <v>14</v>
      </c>
      <c r="B25" s="351"/>
      <c r="C25" s="342">
        <v>45474</v>
      </c>
      <c r="D25" s="343"/>
      <c r="E25" s="344"/>
      <c r="F25" s="230"/>
      <c r="G25" s="230"/>
      <c r="H25" s="230"/>
      <c r="I25" s="230"/>
      <c r="J25" s="230"/>
      <c r="K25" s="230"/>
    </row>
    <row r="26" spans="1:11" ht="15" x14ac:dyDescent="0.2">
      <c r="A26" s="230"/>
      <c r="B26" s="230"/>
      <c r="C26" s="237"/>
      <c r="D26" s="237"/>
      <c r="E26" s="237"/>
      <c r="F26" s="230"/>
      <c r="G26" s="230"/>
      <c r="H26" s="230"/>
      <c r="I26" s="230"/>
      <c r="J26" s="230"/>
      <c r="K26" s="230"/>
    </row>
    <row r="27" spans="1:11" ht="15.75" x14ac:dyDescent="0.2">
      <c r="A27" s="350" t="s">
        <v>15</v>
      </c>
      <c r="B27" s="351"/>
      <c r="C27" s="342">
        <v>45838</v>
      </c>
      <c r="D27" s="343"/>
      <c r="E27" s="344"/>
      <c r="F27" s="230"/>
      <c r="G27" s="230"/>
      <c r="H27" s="230"/>
      <c r="I27" s="230"/>
      <c r="J27" s="230"/>
      <c r="K27" s="230"/>
    </row>
    <row r="28" spans="1:11" ht="15" x14ac:dyDescent="0.2">
      <c r="A28" s="230"/>
      <c r="B28" s="230"/>
      <c r="C28" s="237"/>
      <c r="D28" s="237"/>
      <c r="E28" s="237"/>
      <c r="F28" s="230"/>
      <c r="G28" s="230"/>
      <c r="H28" s="230"/>
      <c r="I28" s="230"/>
      <c r="J28" s="230"/>
      <c r="K28" s="230"/>
    </row>
    <row r="29" spans="1:11" ht="15.75" x14ac:dyDescent="0.2">
      <c r="A29" s="352" t="s">
        <v>16</v>
      </c>
      <c r="B29" s="352"/>
      <c r="C29" s="342">
        <v>46014</v>
      </c>
      <c r="D29" s="343"/>
      <c r="E29" s="344"/>
      <c r="F29" s="230"/>
      <c r="G29" s="230"/>
      <c r="H29" s="230"/>
      <c r="I29" s="230"/>
      <c r="J29" s="230"/>
      <c r="K29" s="230"/>
    </row>
    <row r="30" spans="1:11" ht="15" x14ac:dyDescent="0.2">
      <c r="A30" s="230"/>
      <c r="B30" s="230"/>
      <c r="C30" s="237"/>
      <c r="D30" s="237"/>
      <c r="E30" s="237"/>
      <c r="F30" s="230"/>
      <c r="G30" s="230"/>
      <c r="H30" s="230"/>
      <c r="I30" s="230"/>
      <c r="J30" s="230"/>
      <c r="K30" s="230"/>
    </row>
    <row r="31" spans="1:11" ht="15.75" x14ac:dyDescent="0.2">
      <c r="A31" s="352" t="s">
        <v>17</v>
      </c>
      <c r="B31" s="352"/>
      <c r="C31" s="342">
        <v>45838</v>
      </c>
      <c r="D31" s="343"/>
      <c r="E31" s="344"/>
      <c r="F31" s="230"/>
      <c r="G31" s="230"/>
      <c r="H31" s="230"/>
      <c r="I31" s="230"/>
      <c r="J31" s="230"/>
      <c r="K31" s="230"/>
    </row>
    <row r="32" spans="1:11" ht="15" x14ac:dyDescent="0.2">
      <c r="A32" s="230"/>
      <c r="B32" s="230"/>
      <c r="C32" s="237"/>
      <c r="D32" s="237"/>
      <c r="E32" s="237"/>
      <c r="F32" s="230"/>
      <c r="G32" s="230"/>
      <c r="H32" s="230"/>
      <c r="I32" s="230"/>
      <c r="J32" s="230"/>
      <c r="K32" s="230"/>
    </row>
    <row r="33" spans="1:11" ht="60" customHeight="1" x14ac:dyDescent="0.2">
      <c r="A33" s="349" t="s">
        <v>18</v>
      </c>
      <c r="B33" s="349"/>
      <c r="C33" s="345" t="s">
        <v>692</v>
      </c>
      <c r="D33" s="346"/>
      <c r="E33" s="347"/>
      <c r="F33" s="348" t="s">
        <v>19</v>
      </c>
      <c r="G33" s="349"/>
      <c r="H33" s="349"/>
      <c r="I33" s="345"/>
      <c r="J33" s="346"/>
      <c r="K33" s="347"/>
    </row>
    <row r="34" spans="1:11" ht="15.75" thickBot="1" x14ac:dyDescent="0.25">
      <c r="A34" s="238"/>
      <c r="B34" s="238"/>
      <c r="C34" s="238"/>
      <c r="D34" s="238"/>
      <c r="E34" s="238"/>
      <c r="F34" s="238"/>
      <c r="G34" s="238"/>
      <c r="H34" s="238"/>
      <c r="I34" s="238"/>
      <c r="J34" s="238"/>
      <c r="K34" s="238"/>
    </row>
    <row r="35" spans="1:11" ht="15" x14ac:dyDescent="0.2">
      <c r="A35" s="339"/>
      <c r="B35" s="340"/>
      <c r="C35" s="340"/>
      <c r="D35" s="340"/>
      <c r="E35" s="340"/>
      <c r="F35" s="340"/>
      <c r="G35" s="340"/>
      <c r="H35" s="341"/>
      <c r="I35" s="238"/>
      <c r="J35" s="238"/>
      <c r="K35" s="238"/>
    </row>
    <row r="36" spans="1:11" ht="15" x14ac:dyDescent="0.2">
      <c r="A36" s="359" t="s">
        <v>20</v>
      </c>
      <c r="B36" s="337" t="s">
        <v>21</v>
      </c>
      <c r="C36" s="338"/>
      <c r="D36" s="353" t="s">
        <v>693</v>
      </c>
      <c r="E36" s="354"/>
      <c r="F36" s="354"/>
      <c r="G36" s="355"/>
      <c r="H36" s="363"/>
      <c r="I36" s="238"/>
      <c r="J36" s="238"/>
      <c r="K36" s="238"/>
    </row>
    <row r="37" spans="1:11" ht="15" x14ac:dyDescent="0.2">
      <c r="A37" s="359"/>
      <c r="B37" s="337" t="s">
        <v>22</v>
      </c>
      <c r="C37" s="338"/>
      <c r="D37" s="353" t="s">
        <v>694</v>
      </c>
      <c r="E37" s="354"/>
      <c r="F37" s="354"/>
      <c r="G37" s="355"/>
      <c r="H37" s="363"/>
      <c r="I37" s="238"/>
      <c r="J37" s="238"/>
      <c r="K37" s="238"/>
    </row>
    <row r="38" spans="1:11" ht="15" x14ac:dyDescent="0.2">
      <c r="A38" s="359"/>
      <c r="B38" s="239"/>
      <c r="C38" s="240" t="s">
        <v>23</v>
      </c>
      <c r="D38" s="158" t="s">
        <v>695</v>
      </c>
      <c r="E38" s="240" t="s">
        <v>24</v>
      </c>
      <c r="F38" s="158">
        <v>5000</v>
      </c>
      <c r="G38" s="241"/>
      <c r="H38" s="363"/>
      <c r="I38" s="238"/>
      <c r="J38" s="238"/>
      <c r="K38" s="238"/>
    </row>
    <row r="39" spans="1:11" ht="15" x14ac:dyDescent="0.2">
      <c r="A39" s="359"/>
      <c r="B39" s="364"/>
      <c r="C39" s="364"/>
      <c r="D39" s="364"/>
      <c r="E39" s="364"/>
      <c r="F39" s="364"/>
      <c r="G39" s="364"/>
      <c r="H39" s="363"/>
      <c r="I39" s="238"/>
      <c r="J39" s="238"/>
      <c r="K39" s="238"/>
    </row>
    <row r="40" spans="1:11" ht="15" x14ac:dyDescent="0.2">
      <c r="A40" s="359" t="s">
        <v>25</v>
      </c>
      <c r="B40" s="337" t="s">
        <v>21</v>
      </c>
      <c r="C40" s="338"/>
      <c r="D40" s="365" t="s">
        <v>693</v>
      </c>
      <c r="E40" s="365"/>
      <c r="F40" s="365"/>
      <c r="G40" s="365"/>
      <c r="H40" s="363"/>
      <c r="I40" s="238"/>
      <c r="J40" s="238"/>
      <c r="K40" s="238"/>
    </row>
    <row r="41" spans="1:11" ht="15" x14ac:dyDescent="0.2">
      <c r="A41" s="359"/>
      <c r="B41" s="337" t="s">
        <v>22</v>
      </c>
      <c r="C41" s="338"/>
      <c r="D41" s="365" t="s">
        <v>694</v>
      </c>
      <c r="E41" s="365"/>
      <c r="F41" s="365"/>
      <c r="G41" s="365"/>
      <c r="H41" s="363"/>
      <c r="I41" s="238"/>
      <c r="J41" s="238"/>
      <c r="K41" s="238"/>
    </row>
    <row r="42" spans="1:11" ht="15" x14ac:dyDescent="0.2">
      <c r="A42" s="359"/>
      <c r="B42" s="239"/>
      <c r="C42" s="240" t="s">
        <v>23</v>
      </c>
      <c r="D42" s="158" t="s">
        <v>695</v>
      </c>
      <c r="E42" s="240" t="s">
        <v>24</v>
      </c>
      <c r="F42" s="158">
        <v>5000</v>
      </c>
      <c r="G42" s="241"/>
      <c r="H42" s="363"/>
      <c r="I42" s="238"/>
      <c r="J42" s="238"/>
      <c r="K42" s="238"/>
    </row>
    <row r="43" spans="1:11" ht="15.75" thickBot="1" x14ac:dyDescent="0.25">
      <c r="A43" s="360"/>
      <c r="B43" s="361"/>
      <c r="C43" s="361"/>
      <c r="D43" s="361"/>
      <c r="E43" s="361"/>
      <c r="F43" s="361"/>
      <c r="G43" s="361"/>
      <c r="H43" s="362"/>
      <c r="I43" s="238"/>
      <c r="J43" s="238"/>
      <c r="K43" s="238"/>
    </row>
    <row r="44" spans="1:11" ht="15" x14ac:dyDescent="0.2">
      <c r="A44" s="339"/>
      <c r="B44" s="340"/>
      <c r="C44" s="340"/>
      <c r="D44" s="340"/>
      <c r="E44" s="340"/>
      <c r="F44" s="340"/>
      <c r="G44" s="340"/>
      <c r="H44" s="341"/>
      <c r="I44" s="238"/>
      <c r="J44" s="238"/>
      <c r="K44" s="238"/>
    </row>
    <row r="45" spans="1:11" ht="15.75" x14ac:dyDescent="0.25">
      <c r="A45" s="242" t="s">
        <v>26</v>
      </c>
      <c r="B45" s="353" t="s">
        <v>696</v>
      </c>
      <c r="C45" s="354"/>
      <c r="D45" s="369"/>
      <c r="E45" s="369"/>
      <c r="F45" s="370"/>
      <c r="G45" s="366"/>
      <c r="H45" s="367"/>
      <c r="I45" s="238"/>
      <c r="J45" s="238"/>
      <c r="K45" s="238"/>
    </row>
    <row r="46" spans="1:11" ht="15.75" x14ac:dyDescent="0.25">
      <c r="A46" s="242" t="s">
        <v>27</v>
      </c>
      <c r="B46" s="353" t="s">
        <v>697</v>
      </c>
      <c r="C46" s="354"/>
      <c r="D46" s="354"/>
      <c r="E46" s="354"/>
      <c r="F46" s="355"/>
      <c r="G46" s="366"/>
      <c r="H46" s="367"/>
      <c r="I46" s="238"/>
      <c r="J46" s="238"/>
      <c r="K46" s="238"/>
    </row>
    <row r="47" spans="1:11" ht="15.75" x14ac:dyDescent="0.25">
      <c r="A47" s="242" t="s">
        <v>28</v>
      </c>
      <c r="B47" s="368" t="s">
        <v>698</v>
      </c>
      <c r="C47" s="354"/>
      <c r="D47" s="354"/>
      <c r="E47" s="354"/>
      <c r="F47" s="355"/>
      <c r="G47" s="366"/>
      <c r="H47" s="367"/>
      <c r="I47" s="238"/>
      <c r="J47" s="238"/>
      <c r="K47" s="238"/>
    </row>
    <row r="48" spans="1:11" ht="15.75" thickBot="1" x14ac:dyDescent="0.25">
      <c r="A48" s="356"/>
      <c r="B48" s="357"/>
      <c r="C48" s="357"/>
      <c r="D48" s="357"/>
      <c r="E48" s="357"/>
      <c r="F48" s="357"/>
      <c r="G48" s="357"/>
      <c r="H48" s="358"/>
      <c r="I48" s="238"/>
      <c r="J48" s="238"/>
      <c r="K48" s="238"/>
    </row>
    <row r="49" spans="1:11" ht="15" x14ac:dyDescent="0.2">
      <c r="A49" s="238"/>
      <c r="B49" s="238"/>
      <c r="C49" s="238"/>
      <c r="D49" s="238"/>
      <c r="E49" s="238"/>
      <c r="F49" s="238"/>
      <c r="G49" s="238"/>
      <c r="H49" s="238"/>
      <c r="I49" s="238"/>
      <c r="J49" s="238"/>
      <c r="K49" s="238"/>
    </row>
    <row r="50" spans="1:11" ht="15" x14ac:dyDescent="0.2">
      <c r="A50" s="238"/>
      <c r="B50" s="238"/>
      <c r="C50" s="238"/>
      <c r="D50" s="238"/>
      <c r="E50" s="238"/>
      <c r="F50" s="238"/>
      <c r="G50" s="238"/>
      <c r="H50" s="238"/>
      <c r="I50" s="238"/>
      <c r="J50" s="238"/>
      <c r="K50" s="238"/>
    </row>
    <row r="51" spans="1:11" ht="15" x14ac:dyDescent="0.2">
      <c r="A51" s="238"/>
      <c r="B51" s="238"/>
      <c r="C51" s="238"/>
      <c r="D51" s="238"/>
      <c r="E51" s="238"/>
      <c r="F51" s="238"/>
      <c r="G51" s="238"/>
      <c r="H51" s="238"/>
      <c r="I51" s="238"/>
      <c r="J51" s="238"/>
      <c r="K51" s="238"/>
    </row>
  </sheetData>
  <sheetProtection algorithmName="SHA-512" hashValue="223HnPE+xzk/EWEFpJ5gO2ICbx2/4vWNK5LZI3I+12sUD6ZzG+1fjITZW9mdmBvylWDksrUzj2ANAygQ/ffRAw==" saltValue="UYcy/ryXqpNKQz9Y3Y4lmQ==" spinCount="100000" sheet="1" objects="1" scenarios="1"/>
  <mergeCells count="45">
    <mergeCell ref="A17:B17"/>
    <mergeCell ref="A23:B23"/>
    <mergeCell ref="A25:B25"/>
    <mergeCell ref="A8:I8"/>
    <mergeCell ref="A11:I11"/>
    <mergeCell ref="A10:I10"/>
    <mergeCell ref="A12:I12"/>
    <mergeCell ref="C20:E20"/>
    <mergeCell ref="C21:E21"/>
    <mergeCell ref="C17:E17"/>
    <mergeCell ref="A19:B19"/>
    <mergeCell ref="C19:E19"/>
    <mergeCell ref="A21:B21"/>
    <mergeCell ref="C23:E23"/>
    <mergeCell ref="A48:H48"/>
    <mergeCell ref="A40:A43"/>
    <mergeCell ref="B43:H43"/>
    <mergeCell ref="A33:B33"/>
    <mergeCell ref="A35:H35"/>
    <mergeCell ref="A36:A39"/>
    <mergeCell ref="H36:H42"/>
    <mergeCell ref="B39:G39"/>
    <mergeCell ref="D40:G40"/>
    <mergeCell ref="G45:H47"/>
    <mergeCell ref="B47:F47"/>
    <mergeCell ref="B41:C41"/>
    <mergeCell ref="D41:G41"/>
    <mergeCell ref="B45:F45"/>
    <mergeCell ref="B46:F46"/>
    <mergeCell ref="D37:G37"/>
    <mergeCell ref="B40:C40"/>
    <mergeCell ref="A44:H44"/>
    <mergeCell ref="C25:E25"/>
    <mergeCell ref="C33:E33"/>
    <mergeCell ref="I33:K33"/>
    <mergeCell ref="F33:H33"/>
    <mergeCell ref="C27:E27"/>
    <mergeCell ref="C29:E29"/>
    <mergeCell ref="C31:E31"/>
    <mergeCell ref="B37:C37"/>
    <mergeCell ref="A27:B27"/>
    <mergeCell ref="A29:B29"/>
    <mergeCell ref="A31:B31"/>
    <mergeCell ref="B36:C36"/>
    <mergeCell ref="D36:G36"/>
  </mergeCells>
  <phoneticPr fontId="7" type="noConversion"/>
  <dataValidations count="4">
    <dataValidation type="list" allowBlank="1" showInputMessage="1" showErrorMessage="1" sqref="C33:E33" xr:uid="{00000000-0002-0000-0000-000000000000}">
      <formula1>"Yes, No"</formula1>
    </dataValidation>
    <dataValidation type="list" allowBlank="1" showInputMessage="1" showErrorMessage="1" sqref="C23:E23" xr:uid="{00000000-0002-0000-0000-000001000000}">
      <formula1>"Scheme pipeline, Non-scheme pipeline"</formula1>
    </dataValidation>
    <dataValidation type="date" operator="greaterThan" allowBlank="1" showInputMessage="1" showErrorMessage="1" sqref="C25:E25" xr:uid="{00000000-0002-0000-0000-000002000000}">
      <formula1>40179</formula1>
    </dataValidation>
    <dataValidation type="list" allowBlank="1" showInputMessage="1" showErrorMessage="1" sqref="D38 D42" xr:uid="{00000000-0002-0000-0000-000003000000}">
      <formula1>"NSW, VIC, QLD, SA, TAS, NT, ACT, WA"</formula1>
    </dataValidation>
  </dataValidations>
  <hyperlinks>
    <hyperlink ref="B47" r:id="rId1" xr:uid="{5E1289C4-9A35-4598-8F11-074F2EB27BE3}"/>
  </hyperlinks>
  <pageMargins left="0.75" right="0.75" top="1" bottom="1" header="0.5" footer="0.5"/>
  <pageSetup paperSize="9" scale="56" orientation="landscape" verticalDpi="2" r:id="rId2"/>
  <headerFooter alignWithMargins="0">
    <oddHeader>&amp;C&amp;"Arial,Bold"&amp;12Non- Scheme Gas Pipeline - Financial Guideline Reporting template</oddHead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17415D"/>
    <pageSetUpPr fitToPage="1"/>
  </sheetPr>
  <dimension ref="B1:J29"/>
  <sheetViews>
    <sheetView workbookViewId="0">
      <pane xSplit="1" ySplit="4" topLeftCell="B5" activePane="bottomRight" state="frozen"/>
      <selection activeCell="B13" sqref="B13"/>
      <selection pane="topRight" activeCell="B13" sqref="B13"/>
      <selection pane="bottomLeft" activeCell="B13" sqref="B13"/>
      <selection pane="bottomRight" activeCell="B5" sqref="B5"/>
    </sheetView>
  </sheetViews>
  <sheetFormatPr defaultColWidth="9.140625" defaultRowHeight="12.75" x14ac:dyDescent="0.2"/>
  <cols>
    <col min="1" max="1" width="12" style="4" customWidth="1"/>
    <col min="2" max="2" width="37.5703125" style="4" customWidth="1"/>
    <col min="3" max="3" width="42.85546875" style="4" customWidth="1"/>
    <col min="4" max="5" width="27.140625" style="4" customWidth="1"/>
    <col min="6" max="6" width="18.42578125" style="4" customWidth="1"/>
    <col min="7" max="7" width="6.85546875" style="4" customWidth="1"/>
    <col min="8" max="10" width="19.85546875" style="4" customWidth="1"/>
    <col min="11" max="11" width="18.140625" style="4" customWidth="1"/>
    <col min="12" max="16384" width="9.140625" style="4"/>
  </cols>
  <sheetData>
    <row r="1" spans="2:10" ht="20.25" customHeight="1" x14ac:dyDescent="0.3">
      <c r="B1" s="136" t="s">
        <v>53</v>
      </c>
      <c r="C1" s="136"/>
      <c r="D1" s="204"/>
      <c r="E1" s="204"/>
      <c r="F1" s="204"/>
      <c r="G1" s="204"/>
      <c r="H1" s="204"/>
      <c r="I1" s="204"/>
      <c r="J1" s="204"/>
    </row>
    <row r="2" spans="2:10" ht="20.25" customHeight="1" x14ac:dyDescent="0.2">
      <c r="B2" s="136" t="str">
        <f>IF(Tradingname=0," ",Tradingname)</f>
        <v>SEA Gas Partnership</v>
      </c>
      <c r="C2" s="136"/>
    </row>
    <row r="3" spans="2:10" ht="20.25" customHeight="1" x14ac:dyDescent="0.45">
      <c r="B3" s="136" t="s">
        <v>30</v>
      </c>
      <c r="C3" s="105">
        <f>IF(Yearending=0, "01/01/2000", Yearending)</f>
        <v>45838</v>
      </c>
      <c r="F3" s="243"/>
    </row>
    <row r="4" spans="2:10" ht="20.25" x14ac:dyDescent="0.2">
      <c r="B4" s="97" t="s">
        <v>176</v>
      </c>
      <c r="C4" s="97"/>
    </row>
    <row r="6" spans="2:10" ht="20.25" x14ac:dyDescent="0.3">
      <c r="B6" s="244"/>
      <c r="G6" s="245"/>
      <c r="H6" s="246"/>
      <c r="I6" s="247"/>
      <c r="J6" s="247"/>
    </row>
    <row r="7" spans="2:10" ht="15.75" x14ac:dyDescent="0.25">
      <c r="B7" s="214" t="s">
        <v>177</v>
      </c>
    </row>
    <row r="8" spans="2:10" ht="13.7" customHeight="1" x14ac:dyDescent="0.2">
      <c r="B8" s="215"/>
      <c r="C8" s="216"/>
      <c r="D8" s="216"/>
      <c r="E8" s="216"/>
    </row>
    <row r="9" spans="2:10" ht="13.7" customHeight="1" x14ac:dyDescent="0.2">
      <c r="B9" s="44" t="s">
        <v>113</v>
      </c>
      <c r="C9" s="40" t="s">
        <v>124</v>
      </c>
      <c r="D9" s="40" t="s">
        <v>125</v>
      </c>
      <c r="E9" s="40" t="s">
        <v>56</v>
      </c>
      <c r="F9" s="216"/>
    </row>
    <row r="10" spans="2:10" ht="13.7" customHeight="1" x14ac:dyDescent="0.2">
      <c r="B10" s="39"/>
      <c r="C10" s="41" t="s">
        <v>115</v>
      </c>
      <c r="D10" s="41" t="s">
        <v>115</v>
      </c>
      <c r="E10" s="41" t="s">
        <v>115</v>
      </c>
    </row>
    <row r="11" spans="2:10" ht="13.7" customHeight="1" x14ac:dyDescent="0.2">
      <c r="B11" s="302"/>
      <c r="C11" s="303"/>
      <c r="D11" s="75"/>
      <c r="E11" s="22">
        <f t="shared" ref="E11:E17" si="0">SUM(C11:D11)</f>
        <v>0</v>
      </c>
    </row>
    <row r="12" spans="2:10" ht="13.7" customHeight="1" x14ac:dyDescent="0.2">
      <c r="B12" s="74"/>
      <c r="C12" s="75"/>
      <c r="D12" s="75"/>
      <c r="E12" s="22">
        <f t="shared" si="0"/>
        <v>0</v>
      </c>
    </row>
    <row r="13" spans="2:10" ht="13.7" customHeight="1" x14ac:dyDescent="0.2">
      <c r="B13" s="74"/>
      <c r="C13" s="75"/>
      <c r="D13" s="75"/>
      <c r="E13" s="22">
        <f t="shared" si="0"/>
        <v>0</v>
      </c>
    </row>
    <row r="14" spans="2:10" ht="13.7" customHeight="1" x14ac:dyDescent="0.2">
      <c r="B14" s="74"/>
      <c r="C14" s="75"/>
      <c r="D14" s="75"/>
      <c r="E14" s="22">
        <f t="shared" si="0"/>
        <v>0</v>
      </c>
    </row>
    <row r="15" spans="2:10" x14ac:dyDescent="0.2">
      <c r="B15" s="74"/>
      <c r="C15" s="75"/>
      <c r="D15" s="75"/>
      <c r="E15" s="22">
        <f t="shared" si="0"/>
        <v>0</v>
      </c>
    </row>
    <row r="16" spans="2:10" x14ac:dyDescent="0.2">
      <c r="B16" s="74"/>
      <c r="C16" s="75"/>
      <c r="D16" s="75"/>
      <c r="E16" s="22">
        <f t="shared" si="0"/>
        <v>0</v>
      </c>
    </row>
    <row r="17" spans="2:6" x14ac:dyDescent="0.2">
      <c r="B17" s="137" t="s">
        <v>56</v>
      </c>
      <c r="C17" s="22">
        <f>SUM(C11:C16)</f>
        <v>0</v>
      </c>
      <c r="D17" s="22">
        <f>SUM(D11:D16)</f>
        <v>0</v>
      </c>
      <c r="E17" s="22">
        <f t="shared" si="0"/>
        <v>0</v>
      </c>
    </row>
    <row r="18" spans="2:6" ht="19.5" customHeight="1" x14ac:dyDescent="0.2"/>
    <row r="19" spans="2:6" ht="15.75" x14ac:dyDescent="0.25">
      <c r="B19" s="214" t="s">
        <v>178</v>
      </c>
    </row>
    <row r="20" spans="2:6" x14ac:dyDescent="0.2">
      <c r="B20" s="215"/>
      <c r="C20" s="216"/>
      <c r="D20" s="216"/>
      <c r="E20" s="216"/>
    </row>
    <row r="21" spans="2:6" x14ac:dyDescent="0.2">
      <c r="B21" s="39" t="s">
        <v>179</v>
      </c>
      <c r="C21" s="45" t="s">
        <v>113</v>
      </c>
      <c r="D21" s="40" t="s">
        <v>56</v>
      </c>
      <c r="F21" s="216"/>
    </row>
    <row r="22" spans="2:6" x14ac:dyDescent="0.2">
      <c r="B22" s="39"/>
      <c r="C22" s="41"/>
      <c r="D22" s="41" t="s">
        <v>115</v>
      </c>
    </row>
    <row r="23" spans="2:6" x14ac:dyDescent="0.2">
      <c r="B23" s="74"/>
      <c r="C23" s="76"/>
      <c r="D23" s="75"/>
    </row>
    <row r="24" spans="2:6" x14ac:dyDescent="0.2">
      <c r="B24" s="74"/>
      <c r="C24" s="76"/>
      <c r="D24" s="75"/>
    </row>
    <row r="25" spans="2:6" x14ac:dyDescent="0.2">
      <c r="B25" s="74"/>
      <c r="C25" s="76"/>
      <c r="D25" s="75"/>
    </row>
    <row r="26" spans="2:6" x14ac:dyDescent="0.2">
      <c r="B26" s="74"/>
      <c r="C26" s="76"/>
      <c r="D26" s="75"/>
    </row>
    <row r="27" spans="2:6" x14ac:dyDescent="0.2">
      <c r="B27" s="74"/>
      <c r="C27" s="76"/>
      <c r="D27" s="75"/>
    </row>
    <row r="28" spans="2:6" x14ac:dyDescent="0.2">
      <c r="B28" s="74"/>
      <c r="C28" s="76"/>
      <c r="D28" s="75"/>
    </row>
    <row r="29" spans="2:6" x14ac:dyDescent="0.2">
      <c r="B29" s="402" t="s">
        <v>180</v>
      </c>
      <c r="C29" s="403"/>
      <c r="D29" s="22">
        <f>SUM(D23:D28)</f>
        <v>0</v>
      </c>
    </row>
  </sheetData>
  <sheetProtection algorithmName="SHA-512" hashValue="yTvc1q66CAPR9eKKF113yWNrbCAGTXKkG/KSnfBO8q9j3JR6KXxwssk90jbgFsHdDOagy2qOOCHLZ2hayi2aAA==" saltValue="bTGjti21arFXUuU4nsqCAw==" spinCount="100000" sheet="1" objects="1" scenarios="1"/>
  <mergeCells count="1">
    <mergeCell ref="B29:C29"/>
  </mergeCells>
  <pageMargins left="0.75" right="0.75" top="1" bottom="1" header="0.5" footer="0.5"/>
  <pageSetup paperSize="9" scale="80" orientation="landscape" r:id="rId1"/>
  <headerFooter alignWithMargins="0"/>
  <colBreaks count="1" manualBreakCount="1">
    <brk id="7"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7415D"/>
    <pageSetUpPr fitToPage="1"/>
  </sheetPr>
  <dimension ref="B1:I42"/>
  <sheetViews>
    <sheetView zoomScale="96" zoomScaleNormal="85" workbookViewId="0">
      <pane xSplit="1" ySplit="8" topLeftCell="B9" activePane="bottomRight" state="frozen"/>
      <selection activeCell="B13" sqref="B13"/>
      <selection pane="topRight" activeCell="B13" sqref="B13"/>
      <selection pane="bottomLeft" activeCell="B13" sqref="B13"/>
      <selection pane="bottomRight" activeCell="B9" sqref="B9"/>
    </sheetView>
  </sheetViews>
  <sheetFormatPr defaultColWidth="9.140625" defaultRowHeight="12.75" x14ac:dyDescent="0.2"/>
  <cols>
    <col min="1" max="1" width="12.42578125" style="205" customWidth="1"/>
    <col min="2" max="2" width="22.5703125" style="205" customWidth="1"/>
    <col min="3" max="3" width="42.140625" style="205" customWidth="1"/>
    <col min="4" max="4" width="26.85546875" style="205" customWidth="1"/>
    <col min="5" max="5" width="22.5703125" style="205" customWidth="1"/>
    <col min="6" max="6" width="20.5703125" style="205" customWidth="1"/>
    <col min="7" max="8" width="22.5703125" style="205" customWidth="1"/>
    <col min="9" max="9" width="35.140625" style="205" customWidth="1"/>
    <col min="10" max="10" width="25.140625" style="205" customWidth="1"/>
    <col min="11" max="16384" width="9.140625" style="205"/>
  </cols>
  <sheetData>
    <row r="1" spans="2:9" ht="20.25" customHeight="1" x14ac:dyDescent="0.3">
      <c r="B1" s="136" t="s">
        <v>53</v>
      </c>
      <c r="C1" s="136"/>
      <c r="D1" s="204"/>
      <c r="E1" s="204"/>
      <c r="F1" s="204"/>
      <c r="G1" s="204"/>
      <c r="H1" s="204"/>
    </row>
    <row r="2" spans="2:9" ht="20.25" customHeight="1" x14ac:dyDescent="0.3">
      <c r="B2" s="136" t="str">
        <f>IF(Tradingname=0," ",Tradingname)</f>
        <v>SEA Gas Partnership</v>
      </c>
      <c r="C2" s="136"/>
      <c r="H2" s="206"/>
    </row>
    <row r="3" spans="2:9" ht="20.25" customHeight="1" x14ac:dyDescent="0.3">
      <c r="B3" s="136" t="s">
        <v>30</v>
      </c>
      <c r="C3" s="105">
        <f>IF(Yearending=0, "01/01/2000", Yearending)</f>
        <v>45838</v>
      </c>
    </row>
    <row r="4" spans="2:9" ht="20.25" x14ac:dyDescent="0.2">
      <c r="B4" s="97" t="s">
        <v>181</v>
      </c>
      <c r="C4" s="97"/>
    </row>
    <row r="6" spans="2:9" x14ac:dyDescent="0.2">
      <c r="B6" s="404" t="s">
        <v>182</v>
      </c>
      <c r="C6" s="404"/>
      <c r="D6" s="404"/>
    </row>
    <row r="7" spans="2:9" ht="15.75" customHeight="1" x14ac:dyDescent="0.2">
      <c r="B7" s="404"/>
      <c r="C7" s="404"/>
      <c r="D7" s="404"/>
    </row>
    <row r="8" spans="2:9" ht="15.75" customHeight="1" x14ac:dyDescent="0.2">
      <c r="B8" s="404"/>
      <c r="C8" s="404"/>
      <c r="D8" s="404"/>
    </row>
    <row r="11" spans="2:9" s="265" customFormat="1" ht="15.75" x14ac:dyDescent="0.25">
      <c r="B11" s="207" t="s">
        <v>183</v>
      </c>
      <c r="C11" s="208"/>
      <c r="D11" s="208"/>
      <c r="E11" s="208"/>
      <c r="F11" s="211"/>
      <c r="G11" s="208"/>
      <c r="H11" s="208"/>
      <c r="I11" s="205"/>
    </row>
    <row r="12" spans="2:9" s="265" customFormat="1" ht="15.75" x14ac:dyDescent="0.25">
      <c r="B12" s="207"/>
      <c r="C12" s="208"/>
      <c r="D12" s="208"/>
      <c r="E12" s="208"/>
      <c r="F12" s="211"/>
      <c r="G12" s="208"/>
      <c r="H12" s="208"/>
      <c r="I12" s="205"/>
    </row>
    <row r="13" spans="2:9" ht="38.25" x14ac:dyDescent="0.2">
      <c r="B13" s="46" t="s">
        <v>112</v>
      </c>
      <c r="C13" s="46" t="s">
        <v>184</v>
      </c>
      <c r="D13" s="58" t="s">
        <v>185</v>
      </c>
      <c r="E13" s="58" t="s">
        <v>186</v>
      </c>
      <c r="F13" s="58" t="s">
        <v>187</v>
      </c>
      <c r="G13" s="58" t="s">
        <v>188</v>
      </c>
      <c r="H13" s="58" t="s">
        <v>189</v>
      </c>
      <c r="I13" s="58" t="s">
        <v>190</v>
      </c>
    </row>
    <row r="14" spans="2:9" x14ac:dyDescent="0.2">
      <c r="B14" s="95"/>
      <c r="C14" s="46" t="s">
        <v>191</v>
      </c>
      <c r="D14" s="62" t="s">
        <v>115</v>
      </c>
      <c r="E14" s="62" t="s">
        <v>115</v>
      </c>
      <c r="F14" s="62"/>
      <c r="G14" s="62" t="s">
        <v>115</v>
      </c>
      <c r="H14" s="62" t="s">
        <v>115</v>
      </c>
      <c r="I14" s="62" t="s">
        <v>115</v>
      </c>
    </row>
    <row r="15" spans="2:9" x14ac:dyDescent="0.2">
      <c r="B15" s="310" t="s">
        <v>782</v>
      </c>
      <c r="C15" s="77" t="s">
        <v>701</v>
      </c>
      <c r="D15" s="78"/>
      <c r="E15" s="78">
        <f>'[1]FY25 Revenue Data'!B32</f>
        <v>1119936</v>
      </c>
      <c r="F15" s="79">
        <f>'[1]FY25 Revenue Data'!E29</f>
        <v>0.95177103644867878</v>
      </c>
      <c r="G15" s="21">
        <f>D15*F15</f>
        <v>0</v>
      </c>
      <c r="H15" s="21">
        <f t="shared" ref="H15:H41" si="0">E15*F15</f>
        <v>1065922.6474761874</v>
      </c>
      <c r="I15" s="96">
        <f t="shared" ref="I15:I41" si="1">G15+H15</f>
        <v>1065922.6474761874</v>
      </c>
    </row>
    <row r="16" spans="2:9" x14ac:dyDescent="0.2">
      <c r="B16" s="310" t="s">
        <v>782</v>
      </c>
      <c r="C16" s="77" t="s">
        <v>703</v>
      </c>
      <c r="D16" s="78"/>
      <c r="E16" s="78">
        <f>'[1]FY25 Revenue Data'!L51</f>
        <v>268672</v>
      </c>
      <c r="F16" s="79">
        <f>'[1]FY25 Revenue Data'!E29</f>
        <v>0.95177103644867878</v>
      </c>
      <c r="G16" s="21">
        <f>D16*F16</f>
        <v>0</v>
      </c>
      <c r="H16" s="21">
        <f t="shared" si="0"/>
        <v>255714.22790473941</v>
      </c>
      <c r="I16" s="96">
        <f t="shared" si="1"/>
        <v>255714.22790473941</v>
      </c>
    </row>
    <row r="17" spans="2:9" x14ac:dyDescent="0.2">
      <c r="B17" s="310" t="s">
        <v>782</v>
      </c>
      <c r="C17" s="331" t="s">
        <v>783</v>
      </c>
      <c r="D17" s="314">
        <v>159682</v>
      </c>
      <c r="E17" s="78"/>
      <c r="F17" s="79">
        <v>1</v>
      </c>
      <c r="G17" s="21">
        <f>D17*F17</f>
        <v>159682</v>
      </c>
      <c r="H17" s="21">
        <f t="shared" ref="H17" si="2">E17*F17</f>
        <v>0</v>
      </c>
      <c r="I17" s="96">
        <f t="shared" ref="I17" si="3">G17+H17</f>
        <v>159682</v>
      </c>
    </row>
    <row r="18" spans="2:9" x14ac:dyDescent="0.2">
      <c r="B18" s="310" t="s">
        <v>781</v>
      </c>
      <c r="C18" s="77" t="s">
        <v>702</v>
      </c>
      <c r="D18" s="78">
        <v>1002083</v>
      </c>
      <c r="E18" s="78"/>
      <c r="F18" s="79">
        <v>1</v>
      </c>
      <c r="G18" s="21">
        <f>D18*F18</f>
        <v>1002083</v>
      </c>
      <c r="H18" s="96">
        <f t="shared" si="0"/>
        <v>0</v>
      </c>
      <c r="I18" s="96">
        <f t="shared" si="1"/>
        <v>1002083</v>
      </c>
    </row>
    <row r="19" spans="2:9" x14ac:dyDescent="0.2">
      <c r="B19" s="289"/>
      <c r="C19" s="77"/>
      <c r="D19" s="78"/>
      <c r="E19" s="78"/>
      <c r="F19" s="79"/>
      <c r="G19" s="21">
        <f t="shared" ref="G19:G41" si="4">D19*F19</f>
        <v>0</v>
      </c>
      <c r="H19" s="21">
        <f t="shared" si="0"/>
        <v>0</v>
      </c>
      <c r="I19" s="96">
        <f t="shared" si="1"/>
        <v>0</v>
      </c>
    </row>
    <row r="20" spans="2:9" x14ac:dyDescent="0.2">
      <c r="B20" s="289"/>
      <c r="C20" s="77"/>
      <c r="D20" s="78"/>
      <c r="E20" s="78"/>
      <c r="F20" s="79"/>
      <c r="G20" s="21">
        <f t="shared" si="4"/>
        <v>0</v>
      </c>
      <c r="H20" s="21">
        <f t="shared" si="0"/>
        <v>0</v>
      </c>
      <c r="I20" s="96">
        <f t="shared" si="1"/>
        <v>0</v>
      </c>
    </row>
    <row r="21" spans="2:9" ht="15.95" hidden="1" customHeight="1" x14ac:dyDescent="0.2">
      <c r="B21" s="289"/>
      <c r="C21" s="77"/>
      <c r="D21" s="78"/>
      <c r="E21" s="78"/>
      <c r="F21" s="79"/>
      <c r="G21" s="21">
        <f t="shared" si="4"/>
        <v>0</v>
      </c>
      <c r="H21" s="21">
        <f t="shared" si="0"/>
        <v>0</v>
      </c>
      <c r="I21" s="96">
        <f t="shared" si="1"/>
        <v>0</v>
      </c>
    </row>
    <row r="22" spans="2:9" hidden="1" x14ac:dyDescent="0.2">
      <c r="B22" s="289"/>
      <c r="C22" s="77"/>
      <c r="D22" s="78"/>
      <c r="E22" s="78"/>
      <c r="F22" s="79"/>
      <c r="G22" s="21">
        <f t="shared" si="4"/>
        <v>0</v>
      </c>
      <c r="H22" s="21">
        <f t="shared" si="0"/>
        <v>0</v>
      </c>
      <c r="I22" s="96">
        <f t="shared" si="1"/>
        <v>0</v>
      </c>
    </row>
    <row r="23" spans="2:9" hidden="1" x14ac:dyDescent="0.2">
      <c r="B23" s="289"/>
      <c r="C23" s="77"/>
      <c r="D23" s="78"/>
      <c r="E23" s="78"/>
      <c r="F23" s="79"/>
      <c r="G23" s="21">
        <f t="shared" si="4"/>
        <v>0</v>
      </c>
      <c r="H23" s="21">
        <f t="shared" si="0"/>
        <v>0</v>
      </c>
      <c r="I23" s="96">
        <f t="shared" si="1"/>
        <v>0</v>
      </c>
    </row>
    <row r="24" spans="2:9" hidden="1" x14ac:dyDescent="0.2">
      <c r="B24" s="289"/>
      <c r="C24" s="77"/>
      <c r="D24" s="78"/>
      <c r="E24" s="78"/>
      <c r="F24" s="79"/>
      <c r="G24" s="21">
        <f t="shared" si="4"/>
        <v>0</v>
      </c>
      <c r="H24" s="21">
        <f t="shared" si="0"/>
        <v>0</v>
      </c>
      <c r="I24" s="96">
        <f t="shared" si="1"/>
        <v>0</v>
      </c>
    </row>
    <row r="25" spans="2:9" hidden="1" x14ac:dyDescent="0.2">
      <c r="B25" s="289"/>
      <c r="C25" s="77"/>
      <c r="D25" s="78"/>
      <c r="E25" s="78"/>
      <c r="F25" s="79"/>
      <c r="G25" s="21">
        <f t="shared" si="4"/>
        <v>0</v>
      </c>
      <c r="H25" s="21">
        <f t="shared" si="0"/>
        <v>0</v>
      </c>
      <c r="I25" s="96">
        <f t="shared" si="1"/>
        <v>0</v>
      </c>
    </row>
    <row r="26" spans="2:9" hidden="1" x14ac:dyDescent="0.2">
      <c r="B26" s="289"/>
      <c r="C26" s="77"/>
      <c r="D26" s="78"/>
      <c r="E26" s="78"/>
      <c r="F26" s="79"/>
      <c r="G26" s="21">
        <f t="shared" si="4"/>
        <v>0</v>
      </c>
      <c r="H26" s="21">
        <f t="shared" si="0"/>
        <v>0</v>
      </c>
      <c r="I26" s="96">
        <f t="shared" si="1"/>
        <v>0</v>
      </c>
    </row>
    <row r="27" spans="2:9" hidden="1" x14ac:dyDescent="0.2">
      <c r="B27" s="289"/>
      <c r="C27" s="77"/>
      <c r="D27" s="78"/>
      <c r="E27" s="78"/>
      <c r="F27" s="79"/>
      <c r="G27" s="21">
        <f t="shared" si="4"/>
        <v>0</v>
      </c>
      <c r="H27" s="21">
        <f t="shared" si="0"/>
        <v>0</v>
      </c>
      <c r="I27" s="96">
        <f t="shared" si="1"/>
        <v>0</v>
      </c>
    </row>
    <row r="28" spans="2:9" hidden="1" x14ac:dyDescent="0.2">
      <c r="B28" s="289"/>
      <c r="C28" s="77"/>
      <c r="D28" s="78"/>
      <c r="E28" s="78"/>
      <c r="F28" s="79"/>
      <c r="G28" s="21">
        <f t="shared" si="4"/>
        <v>0</v>
      </c>
      <c r="H28" s="21">
        <f t="shared" si="0"/>
        <v>0</v>
      </c>
      <c r="I28" s="96">
        <f t="shared" si="1"/>
        <v>0</v>
      </c>
    </row>
    <row r="29" spans="2:9" hidden="1" x14ac:dyDescent="0.2">
      <c r="B29" s="289"/>
      <c r="C29" s="77"/>
      <c r="D29" s="78"/>
      <c r="E29" s="78"/>
      <c r="F29" s="79"/>
      <c r="G29" s="21">
        <f t="shared" si="4"/>
        <v>0</v>
      </c>
      <c r="H29" s="21">
        <f t="shared" si="0"/>
        <v>0</v>
      </c>
      <c r="I29" s="96">
        <f t="shared" si="1"/>
        <v>0</v>
      </c>
    </row>
    <row r="30" spans="2:9" hidden="1" x14ac:dyDescent="0.2">
      <c r="B30" s="289"/>
      <c r="C30" s="77"/>
      <c r="D30" s="78"/>
      <c r="E30" s="78"/>
      <c r="F30" s="79"/>
      <c r="G30" s="21">
        <f t="shared" si="4"/>
        <v>0</v>
      </c>
      <c r="H30" s="21">
        <f t="shared" si="0"/>
        <v>0</v>
      </c>
      <c r="I30" s="96">
        <f t="shared" si="1"/>
        <v>0</v>
      </c>
    </row>
    <row r="31" spans="2:9" hidden="1" x14ac:dyDescent="0.2">
      <c r="B31" s="289"/>
      <c r="C31" s="77"/>
      <c r="D31" s="78"/>
      <c r="E31" s="78"/>
      <c r="F31" s="79"/>
      <c r="G31" s="21">
        <f t="shared" si="4"/>
        <v>0</v>
      </c>
      <c r="H31" s="21">
        <f t="shared" si="0"/>
        <v>0</v>
      </c>
      <c r="I31" s="96">
        <f t="shared" si="1"/>
        <v>0</v>
      </c>
    </row>
    <row r="32" spans="2:9" hidden="1" x14ac:dyDescent="0.2">
      <c r="B32" s="289"/>
      <c r="C32" s="77"/>
      <c r="D32" s="78"/>
      <c r="E32" s="78"/>
      <c r="F32" s="79"/>
      <c r="G32" s="21">
        <f t="shared" si="4"/>
        <v>0</v>
      </c>
      <c r="H32" s="21">
        <f t="shared" si="0"/>
        <v>0</v>
      </c>
      <c r="I32" s="96">
        <f t="shared" si="1"/>
        <v>0</v>
      </c>
    </row>
    <row r="33" spans="2:9" hidden="1" x14ac:dyDescent="0.2">
      <c r="B33" s="289"/>
      <c r="C33" s="77"/>
      <c r="D33" s="78"/>
      <c r="E33" s="78"/>
      <c r="F33" s="79"/>
      <c r="G33" s="21">
        <f t="shared" si="4"/>
        <v>0</v>
      </c>
      <c r="H33" s="21">
        <f t="shared" si="0"/>
        <v>0</v>
      </c>
      <c r="I33" s="96">
        <f t="shared" si="1"/>
        <v>0</v>
      </c>
    </row>
    <row r="34" spans="2:9" hidden="1" x14ac:dyDescent="0.2">
      <c r="B34" s="289"/>
      <c r="C34" s="77"/>
      <c r="D34" s="78"/>
      <c r="E34" s="78"/>
      <c r="F34" s="79"/>
      <c r="G34" s="21">
        <f t="shared" si="4"/>
        <v>0</v>
      </c>
      <c r="H34" s="21">
        <f t="shared" si="0"/>
        <v>0</v>
      </c>
      <c r="I34" s="96">
        <f t="shared" si="1"/>
        <v>0</v>
      </c>
    </row>
    <row r="35" spans="2:9" hidden="1" x14ac:dyDescent="0.2">
      <c r="B35" s="289"/>
      <c r="C35" s="77"/>
      <c r="D35" s="78"/>
      <c r="E35" s="78"/>
      <c r="F35" s="79"/>
      <c r="G35" s="21">
        <f t="shared" si="4"/>
        <v>0</v>
      </c>
      <c r="H35" s="21">
        <f t="shared" si="0"/>
        <v>0</v>
      </c>
      <c r="I35" s="96">
        <f t="shared" si="1"/>
        <v>0</v>
      </c>
    </row>
    <row r="36" spans="2:9" hidden="1" x14ac:dyDescent="0.2">
      <c r="B36" s="289"/>
      <c r="C36" s="77"/>
      <c r="D36" s="78"/>
      <c r="E36" s="78"/>
      <c r="F36" s="79"/>
      <c r="G36" s="21">
        <f t="shared" si="4"/>
        <v>0</v>
      </c>
      <c r="H36" s="21">
        <f t="shared" si="0"/>
        <v>0</v>
      </c>
      <c r="I36" s="96">
        <f t="shared" si="1"/>
        <v>0</v>
      </c>
    </row>
    <row r="37" spans="2:9" hidden="1" x14ac:dyDescent="0.2">
      <c r="B37" s="289"/>
      <c r="C37" s="77"/>
      <c r="D37" s="78"/>
      <c r="E37" s="78"/>
      <c r="F37" s="79"/>
      <c r="G37" s="21">
        <f t="shared" si="4"/>
        <v>0</v>
      </c>
      <c r="H37" s="21">
        <f t="shared" si="0"/>
        <v>0</v>
      </c>
      <c r="I37" s="96">
        <f t="shared" si="1"/>
        <v>0</v>
      </c>
    </row>
    <row r="38" spans="2:9" hidden="1" x14ac:dyDescent="0.2">
      <c r="B38" s="289"/>
      <c r="C38" s="77"/>
      <c r="D38" s="78"/>
      <c r="E38" s="78"/>
      <c r="F38" s="79"/>
      <c r="G38" s="21">
        <f t="shared" si="4"/>
        <v>0</v>
      </c>
      <c r="H38" s="21">
        <f t="shared" si="0"/>
        <v>0</v>
      </c>
      <c r="I38" s="96">
        <f t="shared" si="1"/>
        <v>0</v>
      </c>
    </row>
    <row r="39" spans="2:9" hidden="1" x14ac:dyDescent="0.2">
      <c r="B39" s="289"/>
      <c r="C39" s="77"/>
      <c r="D39" s="78"/>
      <c r="E39" s="78"/>
      <c r="F39" s="79"/>
      <c r="G39" s="21">
        <f t="shared" si="4"/>
        <v>0</v>
      </c>
      <c r="H39" s="21">
        <f t="shared" si="0"/>
        <v>0</v>
      </c>
      <c r="I39" s="96">
        <f t="shared" si="1"/>
        <v>0</v>
      </c>
    </row>
    <row r="40" spans="2:9" hidden="1" x14ac:dyDescent="0.2">
      <c r="B40" s="289"/>
      <c r="C40" s="77"/>
      <c r="D40" s="78"/>
      <c r="E40" s="78"/>
      <c r="F40" s="79"/>
      <c r="G40" s="21">
        <f t="shared" si="4"/>
        <v>0</v>
      </c>
      <c r="H40" s="21">
        <f t="shared" si="0"/>
        <v>0</v>
      </c>
      <c r="I40" s="96">
        <f t="shared" si="1"/>
        <v>0</v>
      </c>
    </row>
    <row r="41" spans="2:9" x14ac:dyDescent="0.2">
      <c r="B41" s="289"/>
      <c r="C41" s="77"/>
      <c r="D41" s="78"/>
      <c r="E41" s="78"/>
      <c r="F41" s="79"/>
      <c r="G41" s="21">
        <f t="shared" si="4"/>
        <v>0</v>
      </c>
      <c r="H41" s="21">
        <f t="shared" si="0"/>
        <v>0</v>
      </c>
      <c r="I41" s="96">
        <f t="shared" si="1"/>
        <v>0</v>
      </c>
    </row>
    <row r="42" spans="2:9" x14ac:dyDescent="0.2">
      <c r="B42" s="290"/>
      <c r="C42" s="127" t="s">
        <v>56</v>
      </c>
      <c r="D42" s="21">
        <f>SUM(D15:D41)</f>
        <v>1161765</v>
      </c>
      <c r="E42" s="21">
        <f>SUM(E15:E41)</f>
        <v>1388608</v>
      </c>
      <c r="F42" s="23"/>
      <c r="G42" s="21">
        <f>SUM(G15:G41)</f>
        <v>1161765</v>
      </c>
      <c r="H42" s="21">
        <f>SUM(H15:H41)</f>
        <v>1321636.8753809268</v>
      </c>
      <c r="I42" s="96">
        <f>SUM(I15:I41)</f>
        <v>2483401.8753809268</v>
      </c>
    </row>
  </sheetData>
  <sheetProtection algorithmName="SHA-512" hashValue="bWyWgpVzyr5B/bF8i9b0DsUL57gFo5FUoduJgM/gxZqzeni8Y9w+iUtP2EbHsLuBe9ZonottY20Tvsume3dl6w==" saltValue="u+Arqrzrvn/Oz0vAT6Rqzw==" spinCount="100000" sheet="1" objects="1" scenarios="1"/>
  <mergeCells count="1">
    <mergeCell ref="B6:D8"/>
  </mergeCells>
  <conditionalFormatting sqref="F15:F41">
    <cfRule type="cellIs" dxfId="58" priority="1" stopIfTrue="1" operator="greaterThan">
      <formula>1</formula>
    </cfRule>
  </conditionalFormatting>
  <pageMargins left="0.75" right="0.75" top="1" bottom="1" header="0.5" footer="0.5"/>
  <pageSetup paperSize="9"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17415D"/>
    <pageSetUpPr fitToPage="1"/>
  </sheetPr>
  <dimension ref="B1:J36"/>
  <sheetViews>
    <sheetView zoomScale="80" zoomScaleNormal="80" workbookViewId="0">
      <pane xSplit="1" ySplit="8" topLeftCell="B9" activePane="bottomRight" state="frozen"/>
      <selection activeCell="A35" sqref="A35"/>
      <selection pane="topRight" activeCell="A35" sqref="A35"/>
      <selection pane="bottomLeft" activeCell="A35" sqref="A35"/>
      <selection pane="bottomRight" activeCell="B9" sqref="B9"/>
    </sheetView>
  </sheetViews>
  <sheetFormatPr defaultColWidth="9.140625" defaultRowHeight="12.75" x14ac:dyDescent="0.2"/>
  <cols>
    <col min="1" max="1" width="11.140625" style="205" customWidth="1"/>
    <col min="2" max="2" width="21" style="205" customWidth="1"/>
    <col min="3" max="3" width="36.140625" style="205" customWidth="1"/>
    <col min="4" max="4" width="26.85546875" style="205" customWidth="1"/>
    <col min="5" max="5" width="23.5703125" style="205" customWidth="1"/>
    <col min="6" max="6" width="22.5703125" style="205" customWidth="1"/>
    <col min="7" max="7" width="20.5703125" style="205" customWidth="1"/>
    <col min="8" max="9" width="22.5703125" style="205" customWidth="1"/>
    <col min="10" max="10" width="35.140625" style="205" customWidth="1"/>
    <col min="11" max="11" width="25.140625" style="205" customWidth="1"/>
    <col min="12" max="16384" width="9.140625" style="205"/>
  </cols>
  <sheetData>
    <row r="1" spans="2:10" ht="20.25" customHeight="1" x14ac:dyDescent="0.3">
      <c r="B1" s="136" t="s">
        <v>53</v>
      </c>
      <c r="C1" s="136"/>
      <c r="D1" s="204"/>
      <c r="E1" s="204"/>
      <c r="F1" s="204"/>
      <c r="G1" s="204"/>
      <c r="H1" s="204"/>
      <c r="I1" s="204"/>
    </row>
    <row r="2" spans="2:10" ht="20.25" customHeight="1" x14ac:dyDescent="0.3">
      <c r="B2" s="136" t="str">
        <f>IF(Tradingname=0," ",Tradingname)</f>
        <v>SEA Gas Partnership</v>
      </c>
      <c r="C2" s="136"/>
      <c r="H2" s="206"/>
      <c r="I2" s="206"/>
    </row>
    <row r="3" spans="2:10" ht="20.25" customHeight="1" x14ac:dyDescent="0.3">
      <c r="B3" s="136" t="s">
        <v>30</v>
      </c>
      <c r="C3" s="105">
        <f>IF(Yearending=0, "01/01/2000", Yearending)</f>
        <v>45838</v>
      </c>
    </row>
    <row r="4" spans="2:10" ht="20.25" x14ac:dyDescent="0.2">
      <c r="B4" s="97" t="s">
        <v>192</v>
      </c>
      <c r="C4" s="97"/>
    </row>
    <row r="6" spans="2:10" x14ac:dyDescent="0.2">
      <c r="B6" s="404" t="s">
        <v>182</v>
      </c>
      <c r="C6" s="404"/>
      <c r="D6" s="404"/>
    </row>
    <row r="7" spans="2:10" ht="15.75" customHeight="1" x14ac:dyDescent="0.2">
      <c r="B7" s="404"/>
      <c r="C7" s="404"/>
      <c r="D7" s="404"/>
    </row>
    <row r="8" spans="2:10" ht="24" customHeight="1" x14ac:dyDescent="0.2">
      <c r="B8" s="404"/>
      <c r="C8" s="404"/>
      <c r="D8" s="404"/>
    </row>
    <row r="11" spans="2:10" ht="15.75" x14ac:dyDescent="0.25">
      <c r="B11" s="207" t="s">
        <v>193</v>
      </c>
      <c r="C11" s="208"/>
      <c r="D11" s="208"/>
      <c r="E11" s="208"/>
      <c r="F11" s="208"/>
      <c r="G11" s="211"/>
      <c r="H11" s="208"/>
      <c r="I11" s="208"/>
    </row>
    <row r="12" spans="2:10" ht="15.75" x14ac:dyDescent="0.25">
      <c r="B12" s="207"/>
      <c r="C12" s="208"/>
      <c r="D12" s="208"/>
      <c r="E12" s="208"/>
      <c r="F12" s="208"/>
      <c r="G12" s="211"/>
      <c r="H12" s="208"/>
      <c r="I12" s="208"/>
    </row>
    <row r="13" spans="2:10" ht="38.25" x14ac:dyDescent="0.2">
      <c r="B13" s="46" t="s">
        <v>112</v>
      </c>
      <c r="C13" s="46" t="s">
        <v>113</v>
      </c>
      <c r="D13" s="50" t="s">
        <v>194</v>
      </c>
      <c r="E13" s="47" t="s">
        <v>195</v>
      </c>
      <c r="F13" s="47" t="s">
        <v>196</v>
      </c>
      <c r="G13" s="47" t="s">
        <v>187</v>
      </c>
      <c r="H13" s="47" t="s">
        <v>188</v>
      </c>
      <c r="I13" s="47" t="s">
        <v>189</v>
      </c>
      <c r="J13" s="47" t="s">
        <v>190</v>
      </c>
    </row>
    <row r="14" spans="2:10" x14ac:dyDescent="0.2">
      <c r="B14" s="48"/>
      <c r="C14" s="48" t="s">
        <v>197</v>
      </c>
      <c r="D14" s="51"/>
      <c r="E14" s="49" t="s">
        <v>115</v>
      </c>
      <c r="F14" s="49" t="s">
        <v>115</v>
      </c>
      <c r="G14" s="49"/>
      <c r="H14" s="49" t="s">
        <v>115</v>
      </c>
      <c r="I14" s="49" t="s">
        <v>115</v>
      </c>
      <c r="J14" s="49" t="s">
        <v>115</v>
      </c>
    </row>
    <row r="15" spans="2:10" x14ac:dyDescent="0.2">
      <c r="B15" s="309" t="s">
        <v>759</v>
      </c>
      <c r="C15" s="43" t="s">
        <v>148</v>
      </c>
      <c r="D15" s="128" t="s">
        <v>704</v>
      </c>
      <c r="E15" s="78">
        <v>-3612955.4999999991</v>
      </c>
      <c r="F15" s="78"/>
      <c r="G15" s="79">
        <v>0.95179999999999998</v>
      </c>
      <c r="H15" s="21">
        <f t="shared" ref="H15:H22" si="0">E15*G15</f>
        <v>-3438811.0448999992</v>
      </c>
      <c r="I15" s="21">
        <f t="shared" ref="I15:I22" si="1">F15*G15</f>
        <v>0</v>
      </c>
      <c r="J15" s="96">
        <f t="shared" ref="J15:J35" si="2">H15+I15</f>
        <v>-3438811.0448999992</v>
      </c>
    </row>
    <row r="16" spans="2:10" ht="25.5" x14ac:dyDescent="0.2">
      <c r="B16" s="309" t="s">
        <v>759</v>
      </c>
      <c r="C16" s="43" t="s">
        <v>149</v>
      </c>
      <c r="D16" s="128" t="s">
        <v>705</v>
      </c>
      <c r="E16" s="78">
        <v>-911071.17</v>
      </c>
      <c r="F16" s="78"/>
      <c r="G16" s="79">
        <v>0.95179999999999998</v>
      </c>
      <c r="H16" s="21">
        <f t="shared" si="0"/>
        <v>-867157.53960600006</v>
      </c>
      <c r="I16" s="21">
        <f t="shared" si="1"/>
        <v>0</v>
      </c>
      <c r="J16" s="96">
        <f t="shared" si="2"/>
        <v>-867157.53960600006</v>
      </c>
    </row>
    <row r="17" spans="2:10" x14ac:dyDescent="0.2">
      <c r="B17" s="309" t="s">
        <v>759</v>
      </c>
      <c r="C17" s="52" t="s">
        <v>150</v>
      </c>
      <c r="D17" s="128" t="s">
        <v>705</v>
      </c>
      <c r="E17" s="78">
        <v>-1042875.6900000005</v>
      </c>
      <c r="F17" s="78"/>
      <c r="G17" s="79">
        <v>0.95179999999999998</v>
      </c>
      <c r="H17" s="21">
        <f t="shared" si="0"/>
        <v>-992609.08174200053</v>
      </c>
      <c r="I17" s="21">
        <f t="shared" si="1"/>
        <v>0</v>
      </c>
      <c r="J17" s="96">
        <f t="shared" si="2"/>
        <v>-992609.08174200053</v>
      </c>
    </row>
    <row r="18" spans="2:10" x14ac:dyDescent="0.2">
      <c r="B18" s="309" t="s">
        <v>759</v>
      </c>
      <c r="C18" s="43" t="s">
        <v>151</v>
      </c>
      <c r="D18" s="128" t="s">
        <v>706</v>
      </c>
      <c r="E18" s="78">
        <v>-1788543.4999999998</v>
      </c>
      <c r="F18" s="78"/>
      <c r="G18" s="79">
        <v>0.98399999999999999</v>
      </c>
      <c r="H18" s="21">
        <f t="shared" si="0"/>
        <v>-1759926.8039999998</v>
      </c>
      <c r="I18" s="21">
        <f t="shared" si="1"/>
        <v>0</v>
      </c>
      <c r="J18" s="96">
        <f t="shared" si="2"/>
        <v>-1759926.8039999998</v>
      </c>
    </row>
    <row r="19" spans="2:10" x14ac:dyDescent="0.2">
      <c r="B19" s="309" t="s">
        <v>759</v>
      </c>
      <c r="C19" s="43" t="s">
        <v>152</v>
      </c>
      <c r="D19" s="128" t="s">
        <v>705</v>
      </c>
      <c r="E19" s="78">
        <v>-243691.78999999998</v>
      </c>
      <c r="F19" s="78"/>
      <c r="G19" s="79">
        <v>0.95179999999999998</v>
      </c>
      <c r="H19" s="21">
        <f t="shared" si="0"/>
        <v>-231945.84572199997</v>
      </c>
      <c r="I19" s="21">
        <f t="shared" si="1"/>
        <v>0</v>
      </c>
      <c r="J19" s="96">
        <f t="shared" si="2"/>
        <v>-231945.84572199997</v>
      </c>
    </row>
    <row r="20" spans="2:10" x14ac:dyDescent="0.2">
      <c r="B20" s="309" t="s">
        <v>759</v>
      </c>
      <c r="C20" s="52" t="s">
        <v>153</v>
      </c>
      <c r="D20" s="128" t="s">
        <v>707</v>
      </c>
      <c r="E20" s="78">
        <v>-50337.440000000002</v>
      </c>
      <c r="F20" s="78"/>
      <c r="G20" s="79">
        <v>0.95179999999999998</v>
      </c>
      <c r="H20" s="21">
        <f t="shared" si="0"/>
        <v>-47911.175392000005</v>
      </c>
      <c r="I20" s="21">
        <f t="shared" si="1"/>
        <v>0</v>
      </c>
      <c r="J20" s="96">
        <f t="shared" si="2"/>
        <v>-47911.175392000005</v>
      </c>
    </row>
    <row r="21" spans="2:10" x14ac:dyDescent="0.2">
      <c r="B21" s="309" t="s">
        <v>759</v>
      </c>
      <c r="C21" s="52" t="s">
        <v>154</v>
      </c>
      <c r="D21" s="128"/>
      <c r="E21" s="78"/>
      <c r="F21" s="78"/>
      <c r="G21" s="79"/>
      <c r="H21" s="21">
        <f t="shared" si="0"/>
        <v>0</v>
      </c>
      <c r="I21" s="21">
        <f t="shared" si="1"/>
        <v>0</v>
      </c>
      <c r="J21" s="96">
        <f t="shared" si="2"/>
        <v>0</v>
      </c>
    </row>
    <row r="22" spans="2:10" ht="25.5" x14ac:dyDescent="0.2">
      <c r="B22" s="309" t="s">
        <v>759</v>
      </c>
      <c r="C22" s="52" t="s">
        <v>155</v>
      </c>
      <c r="D22" s="128"/>
      <c r="E22" s="78"/>
      <c r="F22" s="78"/>
      <c r="G22" s="79"/>
      <c r="H22" s="21">
        <f t="shared" si="0"/>
        <v>0</v>
      </c>
      <c r="I22" s="21">
        <f t="shared" si="1"/>
        <v>0</v>
      </c>
      <c r="J22" s="96">
        <f t="shared" si="2"/>
        <v>0</v>
      </c>
    </row>
    <row r="23" spans="2:10" x14ac:dyDescent="0.2">
      <c r="B23" s="289"/>
      <c r="C23" s="43" t="s">
        <v>156</v>
      </c>
      <c r="D23" s="128"/>
      <c r="E23" s="129">
        <f>SUM(E24:E35)</f>
        <v>-1002083</v>
      </c>
      <c r="F23" s="129">
        <f>SUM(F24:F35)</f>
        <v>0</v>
      </c>
      <c r="G23" s="130"/>
      <c r="H23" s="129">
        <f>SUM(H24:H35)</f>
        <v>-1002083</v>
      </c>
      <c r="I23" s="129">
        <f>SUM(I24:I35)</f>
        <v>0</v>
      </c>
      <c r="J23" s="96">
        <f t="shared" si="2"/>
        <v>-1002083</v>
      </c>
    </row>
    <row r="24" spans="2:10" x14ac:dyDescent="0.2">
      <c r="B24" s="289"/>
      <c r="C24" s="77" t="s">
        <v>198</v>
      </c>
      <c r="D24" s="128"/>
      <c r="E24" s="78"/>
      <c r="F24" s="78"/>
      <c r="G24" s="79"/>
      <c r="H24" s="21">
        <f t="shared" ref="H24:H35" si="3">E24*G24</f>
        <v>0</v>
      </c>
      <c r="I24" s="21">
        <f t="shared" ref="I24:I35" si="4">F24*G24</f>
        <v>0</v>
      </c>
      <c r="J24" s="96">
        <f t="shared" si="2"/>
        <v>0</v>
      </c>
    </row>
    <row r="25" spans="2:10" x14ac:dyDescent="0.2">
      <c r="B25" s="309" t="s">
        <v>760</v>
      </c>
      <c r="C25" s="77" t="s">
        <v>708</v>
      </c>
      <c r="D25" s="128"/>
      <c r="E25" s="78">
        <f>-'[2]i.FY25 OPEX'!V531</f>
        <v>-1002083</v>
      </c>
      <c r="F25" s="78"/>
      <c r="G25" s="79">
        <v>1</v>
      </c>
      <c r="H25" s="21">
        <f t="shared" si="3"/>
        <v>-1002083</v>
      </c>
      <c r="I25" s="21">
        <f t="shared" si="4"/>
        <v>0</v>
      </c>
      <c r="J25" s="96">
        <f t="shared" si="2"/>
        <v>-1002083</v>
      </c>
    </row>
    <row r="26" spans="2:10" x14ac:dyDescent="0.2">
      <c r="B26" s="289"/>
      <c r="C26" s="77"/>
      <c r="D26" s="128"/>
      <c r="E26" s="78"/>
      <c r="F26" s="78"/>
      <c r="G26" s="79"/>
      <c r="H26" s="21">
        <f t="shared" si="3"/>
        <v>0</v>
      </c>
      <c r="I26" s="21">
        <f t="shared" si="4"/>
        <v>0</v>
      </c>
      <c r="J26" s="96">
        <f t="shared" si="2"/>
        <v>0</v>
      </c>
    </row>
    <row r="27" spans="2:10" x14ac:dyDescent="0.2">
      <c r="B27" s="289"/>
      <c r="C27" s="77"/>
      <c r="D27" s="128"/>
      <c r="E27" s="78"/>
      <c r="F27" s="78"/>
      <c r="G27" s="79"/>
      <c r="H27" s="21">
        <f t="shared" si="3"/>
        <v>0</v>
      </c>
      <c r="I27" s="21">
        <f t="shared" si="4"/>
        <v>0</v>
      </c>
      <c r="J27" s="96">
        <f t="shared" si="2"/>
        <v>0</v>
      </c>
    </row>
    <row r="28" spans="2:10" hidden="1" x14ac:dyDescent="0.2">
      <c r="B28" s="289"/>
      <c r="C28" s="77"/>
      <c r="D28" s="128"/>
      <c r="E28" s="78"/>
      <c r="F28" s="78"/>
      <c r="G28" s="79"/>
      <c r="H28" s="21">
        <f t="shared" si="3"/>
        <v>0</v>
      </c>
      <c r="I28" s="21">
        <f t="shared" si="4"/>
        <v>0</v>
      </c>
      <c r="J28" s="96">
        <f t="shared" si="2"/>
        <v>0</v>
      </c>
    </row>
    <row r="29" spans="2:10" hidden="1" x14ac:dyDescent="0.2">
      <c r="B29" s="289"/>
      <c r="C29" s="77"/>
      <c r="D29" s="128"/>
      <c r="E29" s="78"/>
      <c r="F29" s="78"/>
      <c r="G29" s="79"/>
      <c r="H29" s="21">
        <f t="shared" si="3"/>
        <v>0</v>
      </c>
      <c r="I29" s="21">
        <f t="shared" si="4"/>
        <v>0</v>
      </c>
      <c r="J29" s="96">
        <f t="shared" si="2"/>
        <v>0</v>
      </c>
    </row>
    <row r="30" spans="2:10" hidden="1" x14ac:dyDescent="0.2">
      <c r="B30" s="289"/>
      <c r="C30" s="77"/>
      <c r="D30" s="128"/>
      <c r="E30" s="78"/>
      <c r="F30" s="78"/>
      <c r="G30" s="79"/>
      <c r="H30" s="21">
        <f t="shared" si="3"/>
        <v>0</v>
      </c>
      <c r="I30" s="21">
        <f t="shared" si="4"/>
        <v>0</v>
      </c>
      <c r="J30" s="96">
        <f t="shared" si="2"/>
        <v>0</v>
      </c>
    </row>
    <row r="31" spans="2:10" hidden="1" x14ac:dyDescent="0.2">
      <c r="B31" s="289"/>
      <c r="C31" s="77"/>
      <c r="D31" s="128"/>
      <c r="E31" s="78"/>
      <c r="F31" s="78"/>
      <c r="G31" s="79"/>
      <c r="H31" s="21">
        <f t="shared" si="3"/>
        <v>0</v>
      </c>
      <c r="I31" s="21">
        <f t="shared" si="4"/>
        <v>0</v>
      </c>
      <c r="J31" s="96">
        <f t="shared" si="2"/>
        <v>0</v>
      </c>
    </row>
    <row r="32" spans="2:10" hidden="1" x14ac:dyDescent="0.2">
      <c r="B32" s="289"/>
      <c r="C32" s="77"/>
      <c r="D32" s="128"/>
      <c r="E32" s="78"/>
      <c r="F32" s="78"/>
      <c r="G32" s="79"/>
      <c r="H32" s="21">
        <f t="shared" si="3"/>
        <v>0</v>
      </c>
      <c r="I32" s="21">
        <f t="shared" si="4"/>
        <v>0</v>
      </c>
      <c r="J32" s="96">
        <f t="shared" si="2"/>
        <v>0</v>
      </c>
    </row>
    <row r="33" spans="2:10" hidden="1" x14ac:dyDescent="0.2">
      <c r="B33" s="289"/>
      <c r="C33" s="77"/>
      <c r="D33" s="128"/>
      <c r="E33" s="78"/>
      <c r="F33" s="78"/>
      <c r="G33" s="79"/>
      <c r="H33" s="21">
        <f t="shared" si="3"/>
        <v>0</v>
      </c>
      <c r="I33" s="21">
        <f t="shared" si="4"/>
        <v>0</v>
      </c>
      <c r="J33" s="96">
        <f t="shared" si="2"/>
        <v>0</v>
      </c>
    </row>
    <row r="34" spans="2:10" hidden="1" x14ac:dyDescent="0.2">
      <c r="B34" s="289"/>
      <c r="C34" s="77"/>
      <c r="D34" s="128"/>
      <c r="E34" s="78"/>
      <c r="F34" s="78"/>
      <c r="G34" s="79"/>
      <c r="H34" s="21">
        <f t="shared" si="3"/>
        <v>0</v>
      </c>
      <c r="I34" s="21">
        <f t="shared" si="4"/>
        <v>0</v>
      </c>
      <c r="J34" s="96">
        <f t="shared" si="2"/>
        <v>0</v>
      </c>
    </row>
    <row r="35" spans="2:10" x14ac:dyDescent="0.2">
      <c r="B35" s="289"/>
      <c r="C35" s="77"/>
      <c r="D35" s="128"/>
      <c r="E35" s="78"/>
      <c r="F35" s="78"/>
      <c r="G35" s="79"/>
      <c r="H35" s="21">
        <f t="shared" si="3"/>
        <v>0</v>
      </c>
      <c r="I35" s="21">
        <f t="shared" si="4"/>
        <v>0</v>
      </c>
      <c r="J35" s="96">
        <f t="shared" si="2"/>
        <v>0</v>
      </c>
    </row>
    <row r="36" spans="2:10" x14ac:dyDescent="0.2">
      <c r="B36" s="290"/>
      <c r="C36" s="405" t="s">
        <v>180</v>
      </c>
      <c r="D36" s="406"/>
      <c r="E36" s="21">
        <f>SUM(E15:E23)</f>
        <v>-8651558.0899999999</v>
      </c>
      <c r="F36" s="21">
        <f>SUM(F15:F23)</f>
        <v>0</v>
      </c>
      <c r="G36" s="131"/>
      <c r="H36" s="21">
        <f>SUM(H15:H23)</f>
        <v>-8340444.4913619999</v>
      </c>
      <c r="I36" s="21">
        <f>SUM(I15:I23)</f>
        <v>0</v>
      </c>
      <c r="J36" s="96">
        <f>SUM(J15:J23)</f>
        <v>-8340444.4913619999</v>
      </c>
    </row>
  </sheetData>
  <sheetProtection algorithmName="SHA-512" hashValue="1cXnZnOMZGE0I3VHGve+fHi0gjQKkuWFbXa/tHHuLUGN1g859wFmChEmiwGmNNn6FkOCAbRtPpUSxPvSwmF07Q==" saltValue="qHOD+CLuPRC4eazhEo6kow==" spinCount="100000" sheet="1" objects="1" scenarios="1"/>
  <mergeCells count="2">
    <mergeCell ref="B6:D8"/>
    <mergeCell ref="C36:D36"/>
  </mergeCells>
  <phoneticPr fontId="29" type="noConversion"/>
  <pageMargins left="0.75" right="0.75" top="1" bottom="1" header="0.5" footer="0.5"/>
  <pageSetup paperSize="9" scale="5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17415D"/>
    <pageSetUpPr fitToPage="1"/>
  </sheetPr>
  <dimension ref="B1:H132"/>
  <sheetViews>
    <sheetView zoomScale="96" zoomScaleNormal="130" workbookViewId="0">
      <pane xSplit="1" ySplit="10" topLeftCell="B11" activePane="bottomRight" state="frozen"/>
      <selection activeCell="A35" sqref="A35"/>
      <selection pane="topRight" activeCell="A35" sqref="A35"/>
      <selection pane="bottomLeft" activeCell="A35" sqref="A35"/>
      <selection pane="bottomRight" activeCell="B11" sqref="B11"/>
    </sheetView>
  </sheetViews>
  <sheetFormatPr defaultColWidth="9.140625" defaultRowHeight="12.75" x14ac:dyDescent="0.2"/>
  <cols>
    <col min="1" max="1" width="12" style="4" customWidth="1"/>
    <col min="2" max="2" width="21.5703125" style="4" customWidth="1"/>
    <col min="3" max="3" width="67.140625" style="4" customWidth="1"/>
    <col min="4" max="5" width="20.85546875" style="4" customWidth="1"/>
    <col min="6" max="6" width="9.140625" style="4"/>
    <col min="7" max="7" width="13.42578125" style="4" customWidth="1"/>
    <col min="8" max="8" width="15.42578125" style="4" customWidth="1"/>
    <col min="9" max="16384" width="9.140625" style="4"/>
  </cols>
  <sheetData>
    <row r="1" spans="2:6" ht="20.25" x14ac:dyDescent="0.2">
      <c r="B1" s="136" t="s">
        <v>53</v>
      </c>
      <c r="C1" s="136"/>
    </row>
    <row r="2" spans="2:6" ht="20.25" x14ac:dyDescent="0.2">
      <c r="B2" s="136" t="str">
        <f>IF(Tradingname=0," ",Tradingname)</f>
        <v>SEA Gas Partnership</v>
      </c>
      <c r="C2" s="136"/>
      <c r="E2" s="266"/>
    </row>
    <row r="3" spans="2:6" ht="20.25" x14ac:dyDescent="0.3">
      <c r="B3" s="136" t="s">
        <v>30</v>
      </c>
      <c r="C3" s="105">
        <f>IF(Yearending=0, "01/01/2000", Yearending)</f>
        <v>45838</v>
      </c>
    </row>
    <row r="4" spans="2:6" ht="45" customHeight="1" x14ac:dyDescent="0.2">
      <c r="B4" s="408" t="s">
        <v>199</v>
      </c>
      <c r="C4" s="408"/>
      <c r="D4" s="249"/>
    </row>
    <row r="5" spans="2:6" x14ac:dyDescent="0.2">
      <c r="D5" s="267"/>
    </row>
    <row r="6" spans="2:6" ht="12.75" customHeight="1" x14ac:dyDescent="0.2">
      <c r="B6" s="404" t="s">
        <v>200</v>
      </c>
      <c r="C6" s="404"/>
      <c r="D6" s="404"/>
      <c r="E6" s="404"/>
      <c r="F6" s="404"/>
    </row>
    <row r="7" spans="2:6" ht="12.75" customHeight="1" x14ac:dyDescent="0.2">
      <c r="B7" s="404"/>
      <c r="C7" s="404"/>
      <c r="D7" s="404"/>
      <c r="E7" s="404"/>
      <c r="F7" s="404"/>
    </row>
    <row r="8" spans="2:6" ht="12.75" customHeight="1" x14ac:dyDescent="0.2">
      <c r="B8" s="404"/>
      <c r="C8" s="404"/>
      <c r="D8" s="404"/>
      <c r="E8" s="404"/>
      <c r="F8" s="404"/>
    </row>
    <row r="9" spans="2:6" ht="12.75" customHeight="1" x14ac:dyDescent="0.2">
      <c r="B9" s="404"/>
      <c r="C9" s="404"/>
      <c r="D9" s="404"/>
      <c r="E9" s="404"/>
      <c r="F9" s="404"/>
    </row>
    <row r="10" spans="2:6" ht="12.75" customHeight="1" x14ac:dyDescent="0.2">
      <c r="B10" s="404"/>
      <c r="C10" s="404"/>
      <c r="D10" s="404"/>
      <c r="E10" s="404"/>
      <c r="F10" s="404"/>
    </row>
    <row r="11" spans="2:6" x14ac:dyDescent="0.2">
      <c r="D11" s="267"/>
    </row>
    <row r="12" spans="2:6" x14ac:dyDescent="0.2">
      <c r="D12" s="267"/>
    </row>
    <row r="13" spans="2:6" ht="15.75" x14ac:dyDescent="0.2">
      <c r="B13" s="407" t="s">
        <v>201</v>
      </c>
      <c r="C13" s="407"/>
      <c r="D13" s="267"/>
    </row>
    <row r="15" spans="2:6" ht="25.5" x14ac:dyDescent="0.2">
      <c r="B15" s="53" t="s">
        <v>112</v>
      </c>
      <c r="C15" s="54" t="s">
        <v>113</v>
      </c>
      <c r="D15" s="54" t="s">
        <v>161</v>
      </c>
      <c r="E15" s="220" t="s">
        <v>123</v>
      </c>
    </row>
    <row r="16" spans="2:6" x14ac:dyDescent="0.2">
      <c r="B16" s="53"/>
      <c r="C16" s="55" t="s">
        <v>202</v>
      </c>
      <c r="D16" s="220"/>
      <c r="E16" s="220"/>
    </row>
    <row r="17" spans="2:7" x14ac:dyDescent="0.2">
      <c r="B17" s="291"/>
      <c r="C17" s="57" t="s">
        <v>203</v>
      </c>
      <c r="D17" s="54"/>
      <c r="E17" s="220"/>
    </row>
    <row r="18" spans="2:7" x14ac:dyDescent="0.2">
      <c r="B18" s="316" t="s">
        <v>761</v>
      </c>
      <c r="C18" s="56" t="s">
        <v>204</v>
      </c>
      <c r="D18" s="132">
        <f>IF(Cover!C23="Scheme pipeline","-",SUMIF('3.5 Depreciation amortisation'!$D$15:$D$58,'3.1 Depreciated Book Value'!C17,'3.5 Depreciation amortisation'!$H$15:$H$58))</f>
        <v>373076514.41173428</v>
      </c>
      <c r="E18" s="73">
        <v>372499910</v>
      </c>
    </row>
    <row r="19" spans="2:7" x14ac:dyDescent="0.2">
      <c r="B19" s="316" t="s">
        <v>761</v>
      </c>
      <c r="C19" s="56" t="s">
        <v>205</v>
      </c>
      <c r="D19" s="132">
        <f>IF(Cover!C23="Scheme pipeline","-",SUMIF('3.5 Depreciation amortisation'!$D$15:$D$58,'3.1 Depreciated Book Value'!C17,'3.5 Depreciation amortisation'!$I$15:$I$58))</f>
        <v>0</v>
      </c>
      <c r="E19" s="73">
        <v>0</v>
      </c>
    </row>
    <row r="20" spans="2:7" x14ac:dyDescent="0.2">
      <c r="B20" s="316" t="s">
        <v>761</v>
      </c>
      <c r="C20" s="56" t="s">
        <v>206</v>
      </c>
      <c r="D20" s="132">
        <f>IF(Cover!C23="Scheme pipeline","-",SUMIF('3.5 Depreciation amortisation'!$D$15:$D$58,'3.1 Depreciated Book Value'!C17,'3.5 Depreciation amortisation'!$J$15:$J$58))</f>
        <v>1166804.03</v>
      </c>
      <c r="E20" s="73">
        <v>595069.68000000005</v>
      </c>
    </row>
    <row r="21" spans="2:7" x14ac:dyDescent="0.2">
      <c r="B21" s="317"/>
      <c r="C21" s="91" t="s">
        <v>207</v>
      </c>
      <c r="D21" s="132">
        <f>IF(Cover!C23="Scheme pipeline","-",SUM(D18:D20))</f>
        <v>374243318.44173425</v>
      </c>
      <c r="E21" s="132">
        <f>SUM(E18:E20)</f>
        <v>373094979.68000001</v>
      </c>
    </row>
    <row r="22" spans="2:7" x14ac:dyDescent="0.2">
      <c r="B22" s="316" t="s">
        <v>761</v>
      </c>
      <c r="C22" s="56" t="s">
        <v>208</v>
      </c>
      <c r="D22" s="132">
        <f>IF(Cover!C23="Scheme pipeline","-",-ABS(SUMIF('3.5 Depreciation amortisation'!$D$15:$D$58,'3.1 Depreciated Book Value'!C17,'3.5 Depreciation amortisation'!$O$15:$O$58)+SUMIF('3.5 Depreciation amortisation'!$D$15:$D$58,'3.1 Depreciated Book Value'!C17,'3.5 Depreciation amortisation'!$P$15:$P$58))-D23)</f>
        <v>-159505514.5</v>
      </c>
      <c r="E22" s="73">
        <v>-152032315.5</v>
      </c>
    </row>
    <row r="23" spans="2:7" x14ac:dyDescent="0.2">
      <c r="B23" s="316" t="s">
        <v>761</v>
      </c>
      <c r="C23" s="56" t="s">
        <v>209</v>
      </c>
      <c r="D23" s="132">
        <f>IF(Cover!C23="Scheme pipeline","-",-ABS(SUMIF('3.4 Asset impairment'!$C$10:$C$24,'3.1 Depreciated Book Value'!C17,'3.4 Asset impairment'!$D$10:$D$24))+SUMIF('3.4 Asset impairment'!$C$30:$C$56,'3.1 Depreciated Book Value'!C17,'3.4 Asset impairment'!$G$30:$G$56))</f>
        <v>0</v>
      </c>
      <c r="E23" s="73"/>
    </row>
    <row r="24" spans="2:7" x14ac:dyDescent="0.2">
      <c r="B24" s="316" t="s">
        <v>761</v>
      </c>
      <c r="C24" s="56" t="s">
        <v>210</v>
      </c>
      <c r="D24" s="132">
        <f>IF(Cover!C23="Scheme pipeline","-",SUMIF('3.5 Depreciation amortisation'!$D$15:$D$58,'3.1 Depreciated Book Value'!C17,'3.5 Depreciation amortisation'!$K$15:$K$58))</f>
        <v>0</v>
      </c>
      <c r="E24" s="73">
        <v>-18465.2</v>
      </c>
      <c r="F24" s="247"/>
    </row>
    <row r="25" spans="2:7" x14ac:dyDescent="0.2">
      <c r="B25" s="317"/>
      <c r="C25" s="91" t="s">
        <v>211</v>
      </c>
      <c r="D25" s="132">
        <f>IF(Cover!C23="Scheme pipeline","-",SUM(D21:D24))</f>
        <v>214737803.94173425</v>
      </c>
      <c r="E25" s="132">
        <f>SUM(E21:E24)</f>
        <v>221044198.98000002</v>
      </c>
    </row>
    <row r="26" spans="2:7" x14ac:dyDescent="0.2">
      <c r="B26" s="317"/>
      <c r="C26" s="57" t="s">
        <v>212</v>
      </c>
      <c r="D26" s="133"/>
      <c r="E26" s="133"/>
      <c r="G26" s="160"/>
    </row>
    <row r="27" spans="2:7" x14ac:dyDescent="0.2">
      <c r="B27" s="316" t="s">
        <v>761</v>
      </c>
      <c r="C27" s="56" t="s">
        <v>204</v>
      </c>
      <c r="D27" s="132">
        <f>IF(Cover!C23="Scheme pipeline","-",SUMIF('3.5 Depreciation amortisation'!$D$15:$D$58,'3.1 Depreciated Book Value'!C26,'3.5 Depreciation amortisation'!$H$15:$H$58))</f>
        <v>38350362.410000011</v>
      </c>
      <c r="E27" s="73">
        <v>38323294</v>
      </c>
      <c r="G27" s="160"/>
    </row>
    <row r="28" spans="2:7" x14ac:dyDescent="0.2">
      <c r="B28" s="316" t="s">
        <v>761</v>
      </c>
      <c r="C28" s="56" t="s">
        <v>205</v>
      </c>
      <c r="D28" s="132">
        <f>IF(Cover!C23="Scheme pipeline","-",SUMIF('3.5 Depreciation amortisation'!$D$15:$D$58,'3.1 Depreciated Book Value'!C26,'3.5 Depreciation amortisation'!$I$15:$I$58))</f>
        <v>0</v>
      </c>
      <c r="E28" s="73">
        <v>0</v>
      </c>
      <c r="G28" s="160"/>
    </row>
    <row r="29" spans="2:7" x14ac:dyDescent="0.2">
      <c r="B29" s="316" t="s">
        <v>761</v>
      </c>
      <c r="C29" s="56" t="s">
        <v>206</v>
      </c>
      <c r="D29" s="132">
        <f>IF(Cover!C23="Scheme pipeline","-",SUMIF('3.5 Depreciation amortisation'!$D$15:$D$58,'3.1 Depreciated Book Value'!C26,'3.5 Depreciation amortisation'!$J$15:$J$58))</f>
        <v>0</v>
      </c>
      <c r="E29" s="73">
        <v>27068</v>
      </c>
      <c r="G29" s="160"/>
    </row>
    <row r="30" spans="2:7" x14ac:dyDescent="0.2">
      <c r="B30" s="316" t="s">
        <v>761</v>
      </c>
      <c r="C30" s="56" t="s">
        <v>208</v>
      </c>
      <c r="D30" s="132">
        <f>IF(Cover!C23="Scheme pipeline","-",-ABS(SUMIF('3.5 Depreciation amortisation'!$D$15:$D$58,'3.1 Depreciated Book Value'!C26,'3.5 Depreciation amortisation'!$O$15:$O$58)+SUMIF('3.5 Depreciation amortisation'!$D$15:$D$58,'3.1 Depreciated Book Value'!C26,'3.5 Depreciation amortisation'!$P$15:$P$58))-D31)</f>
        <v>-26420587.5</v>
      </c>
      <c r="E30" s="73">
        <v>-25142254.5</v>
      </c>
      <c r="F30" s="247"/>
      <c r="G30" s="160"/>
    </row>
    <row r="31" spans="2:7" x14ac:dyDescent="0.2">
      <c r="B31" s="316" t="s">
        <v>761</v>
      </c>
      <c r="C31" s="56" t="s">
        <v>209</v>
      </c>
      <c r="D31" s="132">
        <f>IF(Cover!C23="Scheme pipeline","-",-ABS(SUMIF('3.4 Asset impairment'!$C$10:$C$24,'3.1 Depreciated Book Value'!C26,'3.4 Asset impairment'!$D$10:$D$24))+SUMIF('3.4 Asset impairment'!$C$30:$C$56,C26,'3.4 Asset impairment'!$G$30:$G$56))</f>
        <v>0</v>
      </c>
      <c r="E31" s="73"/>
      <c r="F31" s="247"/>
      <c r="G31" s="160"/>
    </row>
    <row r="32" spans="2:7" ht="11.25" customHeight="1" x14ac:dyDescent="0.2">
      <c r="B32" s="316" t="s">
        <v>761</v>
      </c>
      <c r="C32" s="56" t="s">
        <v>210</v>
      </c>
      <c r="D32" s="132">
        <f>IF(Cover!C23="Scheme pipeline","-",SUMIF('3.5 Depreciation amortisation'!$D$15:$D$58,'3.1 Depreciated Book Value'!C26,'3.5 Depreciation amortisation'!$K$15:$K$58))</f>
        <v>0</v>
      </c>
      <c r="E32" s="73"/>
      <c r="G32" s="160"/>
    </row>
    <row r="33" spans="2:7" x14ac:dyDescent="0.2">
      <c r="B33" s="317"/>
      <c r="C33" s="91" t="s">
        <v>213</v>
      </c>
      <c r="D33" s="132">
        <f>IF(Cover!C23="Scheme pipeline","-",SUM(D27:D32))</f>
        <v>11929774.910000011</v>
      </c>
      <c r="E33" s="132">
        <f>SUM(E27:E32)</f>
        <v>13208107.5</v>
      </c>
      <c r="G33" s="160"/>
    </row>
    <row r="34" spans="2:7" x14ac:dyDescent="0.2">
      <c r="B34" s="317"/>
      <c r="C34" s="57" t="s">
        <v>214</v>
      </c>
      <c r="D34" s="133"/>
      <c r="E34" s="133"/>
      <c r="G34" s="159"/>
    </row>
    <row r="35" spans="2:7" x14ac:dyDescent="0.2">
      <c r="B35" s="316" t="s">
        <v>761</v>
      </c>
      <c r="C35" s="56" t="s">
        <v>204</v>
      </c>
      <c r="D35" s="132">
        <f>IF(Cover!C23="Scheme pipeline","-",SUMIF('3.5 Depreciation amortisation'!$D$15:$D$58,'3.1 Depreciated Book Value'!C34,'3.5 Depreciation amortisation'!$H$15:$H$58))</f>
        <v>27767463.026936196</v>
      </c>
      <c r="E35" s="73">
        <v>27704919.946936198</v>
      </c>
    </row>
    <row r="36" spans="2:7" x14ac:dyDescent="0.2">
      <c r="B36" s="316" t="s">
        <v>761</v>
      </c>
      <c r="C36" s="56" t="s">
        <v>205</v>
      </c>
      <c r="D36" s="132">
        <f>IF(Cover!C23="Scheme pipeline","-",SUMIF('3.5 Depreciation amortisation'!$D$15:$D$58,'3.1 Depreciated Book Value'!C34,'3.5 Depreciation amortisation'!$I$15:$I$58))</f>
        <v>0</v>
      </c>
      <c r="E36" s="73"/>
    </row>
    <row r="37" spans="2:7" x14ac:dyDescent="0.2">
      <c r="B37" s="316" t="s">
        <v>761</v>
      </c>
      <c r="C37" s="56" t="s">
        <v>206</v>
      </c>
      <c r="D37" s="132">
        <f>IF(Cover!C23="Scheme pipeline","-",SUMIF('3.5 Depreciation amortisation'!$D$15:$D$58,'3.1 Depreciated Book Value'!C34,'3.5 Depreciation amortisation'!$J$15:$J$58))</f>
        <v>66755.69</v>
      </c>
      <c r="E37" s="73">
        <v>62543</v>
      </c>
    </row>
    <row r="38" spans="2:7" x14ac:dyDescent="0.2">
      <c r="B38" s="316" t="s">
        <v>761</v>
      </c>
      <c r="C38" s="56" t="s">
        <v>208</v>
      </c>
      <c r="D38" s="132">
        <f>IF(Cover!C23="Scheme pipeline","-",-ABS(SUMIF('3.5 Depreciation amortisation'!$D$15:$D$58,'3.1 Depreciated Book Value'!C34,'3.5 Depreciation amortisation'!$O$15:$O$58)+SUMIF('3.5 Depreciation amortisation'!$D$15:$D$58,'3.1 Depreciated Book Value'!C34,'3.5 Depreciation amortisation'!$P$15:$P$58))-D39)</f>
        <v>-14373320</v>
      </c>
      <c r="E38" s="73">
        <v>-13678298</v>
      </c>
      <c r="F38" s="247"/>
    </row>
    <row r="39" spans="2:7" x14ac:dyDescent="0.2">
      <c r="B39" s="316" t="s">
        <v>761</v>
      </c>
      <c r="C39" s="56" t="s">
        <v>209</v>
      </c>
      <c r="D39" s="132">
        <f>IF(Cover!C23="Scheme pipeline","-",-ABS(SUMIF('3.4 Asset impairment'!$C$10:$C$24,'3.1 Depreciated Book Value'!C34,'3.4 Asset impairment'!$D$10:$D$24))+SUMIF('3.4 Asset impairment'!$C$30:$C$56,'3.1 Depreciated Book Value'!C34,'3.4 Asset impairment'!$G$30:$G$56))</f>
        <v>0</v>
      </c>
      <c r="E39" s="73"/>
      <c r="F39" s="247"/>
    </row>
    <row r="40" spans="2:7" ht="11.25" customHeight="1" x14ac:dyDescent="0.2">
      <c r="B40" s="316" t="s">
        <v>761</v>
      </c>
      <c r="C40" s="56" t="s">
        <v>210</v>
      </c>
      <c r="D40" s="132">
        <f>IF(Cover!C23="Scheme pipeline","-",SUMIF('3.5 Depreciation amortisation'!$D$15:$D$58,'3.1 Depreciated Book Value'!C34,'3.5 Depreciation amortisation'!$K$15:$K$58))</f>
        <v>0</v>
      </c>
      <c r="E40" s="73"/>
    </row>
    <row r="41" spans="2:7" x14ac:dyDescent="0.2">
      <c r="B41" s="317"/>
      <c r="C41" s="91" t="s">
        <v>215</v>
      </c>
      <c r="D41" s="132">
        <f>SUM(D35:D40)</f>
        <v>13460898.716936197</v>
      </c>
      <c r="E41" s="132">
        <f>SUM(E35:E40)</f>
        <v>14089164.946936198</v>
      </c>
    </row>
    <row r="42" spans="2:7" x14ac:dyDescent="0.2">
      <c r="B42" s="317"/>
      <c r="C42" s="57" t="s">
        <v>216</v>
      </c>
      <c r="D42" s="133"/>
      <c r="E42" s="133"/>
    </row>
    <row r="43" spans="2:7" x14ac:dyDescent="0.2">
      <c r="B43" s="316" t="s">
        <v>761</v>
      </c>
      <c r="C43" s="56" t="s">
        <v>204</v>
      </c>
      <c r="D43" s="132">
        <f>IF(Cover!C23="Scheme pipeline","-",SUMIF('3.5 Depreciation amortisation'!$D$15:$D$58,'3.1 Depreciated Book Value'!C42,'3.5 Depreciation amortisation'!$H$15:$H$58))</f>
        <v>8796804.8659890015</v>
      </c>
      <c r="E43" s="73">
        <v>8796804.8659890015</v>
      </c>
    </row>
    <row r="44" spans="2:7" x14ac:dyDescent="0.2">
      <c r="B44" s="316" t="s">
        <v>761</v>
      </c>
      <c r="C44" s="56" t="s">
        <v>217</v>
      </c>
      <c r="D44" s="132">
        <f>IF(Cover!C23="Scheme pipeline","-",SUMIF('3.5 Depreciation amortisation'!$D$15:$D$58,'3.1 Depreciated Book Value'!C42,'3.5 Depreciation amortisation'!$I$15:$I$58))</f>
        <v>0</v>
      </c>
      <c r="E44" s="73"/>
    </row>
    <row r="45" spans="2:7" x14ac:dyDescent="0.2">
      <c r="B45" s="316" t="s">
        <v>761</v>
      </c>
      <c r="C45" s="56" t="s">
        <v>206</v>
      </c>
      <c r="D45" s="132">
        <f>IF(Cover!C23="Scheme pipeline","-",SUMIF('3.5 Depreciation amortisation'!$D$15:$D$58,'3.1 Depreciated Book Value'!C42,'3.5 Depreciation amortisation'!$J$15:$J$58))</f>
        <v>0</v>
      </c>
      <c r="E45" s="73"/>
    </row>
    <row r="46" spans="2:7" x14ac:dyDescent="0.2">
      <c r="B46" s="316" t="s">
        <v>761</v>
      </c>
      <c r="C46" s="56" t="s">
        <v>208</v>
      </c>
      <c r="D46" s="132">
        <f>IF(Cover!C23="Scheme pipeline","-",-ABS(SUMIF('3.5 Depreciation amortisation'!$D$15:$D$58,'3.1 Depreciated Book Value'!C42,'3.5 Depreciation amortisation'!$O$15:$O$58)+SUMIF('3.5 Depreciation amortisation'!$D$15:$D$58,'3.1 Depreciated Book Value'!C42,'3.5 Depreciation amortisation'!$P$15:$P$58))-D47)</f>
        <v>-4490454</v>
      </c>
      <c r="E46" s="73">
        <v>-4270535</v>
      </c>
      <c r="F46" s="247"/>
    </row>
    <row r="47" spans="2:7" x14ac:dyDescent="0.2">
      <c r="B47" s="316" t="s">
        <v>761</v>
      </c>
      <c r="C47" s="56" t="s">
        <v>209</v>
      </c>
      <c r="D47" s="132">
        <f>IF(Cover!C23="Scheme pipeline","-",-ABS(SUMIF('3.4 Asset impairment'!$C$10:$C$24,'3.1 Depreciated Book Value'!C42,'3.4 Asset impairment'!$D$10:$D$24))+SUMIF('3.4 Asset impairment'!$C$30:$C$56,'3.1 Depreciated Book Value'!C42,'3.4 Asset impairment'!$G$30:$G$56))</f>
        <v>0</v>
      </c>
      <c r="E47" s="73"/>
      <c r="F47" s="247"/>
    </row>
    <row r="48" spans="2:7" ht="11.25" customHeight="1" x14ac:dyDescent="0.2">
      <c r="B48" s="316" t="s">
        <v>761</v>
      </c>
      <c r="C48" s="56" t="s">
        <v>210</v>
      </c>
      <c r="D48" s="132">
        <f>IF(Cover!C23="Scheme pipeline","-",SUMIF('3.5 Depreciation amortisation'!$D$15:$D$58,'3.1 Depreciated Book Value'!C42,'3.5 Depreciation amortisation'!$K$15:$K$58))</f>
        <v>0</v>
      </c>
      <c r="E48" s="73"/>
    </row>
    <row r="49" spans="2:6" x14ac:dyDescent="0.2">
      <c r="B49" s="317"/>
      <c r="C49" s="91" t="s">
        <v>218</v>
      </c>
      <c r="D49" s="132">
        <f>SUM(D43:D48)</f>
        <v>4306350.8659890015</v>
      </c>
      <c r="E49" s="132">
        <f>SUM(E43:E48)</f>
        <v>4526269.8659890015</v>
      </c>
    </row>
    <row r="50" spans="2:6" x14ac:dyDescent="0.2">
      <c r="B50" s="317"/>
      <c r="C50" s="57" t="s">
        <v>219</v>
      </c>
      <c r="D50" s="133"/>
      <c r="E50" s="133"/>
    </row>
    <row r="51" spans="2:6" x14ac:dyDescent="0.2">
      <c r="B51" s="316" t="s">
        <v>761</v>
      </c>
      <c r="C51" s="56" t="s">
        <v>204</v>
      </c>
      <c r="D51" s="132">
        <f>IF(Cover!C23="Scheme pipeline","-",SUMIF('3.5 Depreciation amortisation'!$D$15:$D$58,'3.1 Depreciated Book Value'!C50,'3.5 Depreciation amortisation'!$H$15:$H$58))</f>
        <v>0</v>
      </c>
      <c r="E51" s="73"/>
    </row>
    <row r="52" spans="2:6" x14ac:dyDescent="0.2">
      <c r="B52" s="316" t="s">
        <v>761</v>
      </c>
      <c r="C52" s="56" t="s">
        <v>205</v>
      </c>
      <c r="D52" s="132">
        <f>IF(Cover!C23="Scheme pipeline","-",SUMIF('3.5 Depreciation amortisation'!$D$15:$D$58,'3.1 Depreciated Book Value'!C50,'3.5 Depreciation amortisation'!$I$15:$I$58))</f>
        <v>0</v>
      </c>
      <c r="E52" s="73"/>
    </row>
    <row r="53" spans="2:6" x14ac:dyDescent="0.2">
      <c r="B53" s="316" t="s">
        <v>761</v>
      </c>
      <c r="C53" s="56" t="s">
        <v>206</v>
      </c>
      <c r="D53" s="132">
        <f>IF(Cover!C23="Scheme pipeline","-",SUMIF('3.5 Depreciation amortisation'!$D$15:$D$58,'3.1 Depreciated Book Value'!C50,'3.5 Depreciation amortisation'!$J$15:$J$58))</f>
        <v>0</v>
      </c>
      <c r="E53" s="73"/>
    </row>
    <row r="54" spans="2:6" x14ac:dyDescent="0.2">
      <c r="B54" s="316" t="s">
        <v>761</v>
      </c>
      <c r="C54" s="56" t="s">
        <v>208</v>
      </c>
      <c r="D54" s="132">
        <f>IF(Cover!C23="Scheme pipeline","-",-ABS(SUMIF('3.5 Depreciation amortisation'!$D$15:$D$58,'3.1 Depreciated Book Value'!C50,'3.5 Depreciation amortisation'!$O$15:$O$58)+SUMIF('3.5 Depreciation amortisation'!$D$15:$D$58,'3.1 Depreciated Book Value'!C50,'3.5 Depreciation amortisation'!$P$15:$P$58))-D55)</f>
        <v>0</v>
      </c>
      <c r="E54" s="73"/>
      <c r="F54" s="247"/>
    </row>
    <row r="55" spans="2:6" x14ac:dyDescent="0.2">
      <c r="B55" s="316" t="s">
        <v>761</v>
      </c>
      <c r="C55" s="56" t="s">
        <v>209</v>
      </c>
      <c r="D55" s="132">
        <f>IF(Cover!C23="Scheme pipeline","-",-ABS(SUMIF('3.4 Asset impairment'!$C$10:$C$24,'3.1 Depreciated Book Value'!C50,'3.4 Asset impairment'!$D$10:$D$24))+SUMIF('3.4 Asset impairment'!$C$30:$C$56,'3.1 Depreciated Book Value'!C50,'3.4 Asset impairment'!$G$30:$G$56))</f>
        <v>0</v>
      </c>
      <c r="E55" s="73"/>
      <c r="F55" s="247"/>
    </row>
    <row r="56" spans="2:6" ht="11.25" customHeight="1" x14ac:dyDescent="0.2">
      <c r="B56" s="316" t="s">
        <v>761</v>
      </c>
      <c r="C56" s="56" t="s">
        <v>210</v>
      </c>
      <c r="D56" s="132">
        <f>IF(Cover!C23="Scheme pipeline","-",SUMIF('3.5 Depreciation amortisation'!$D$15:$D$58,'3.1 Depreciated Book Value'!C50,'3.5 Depreciation amortisation'!$K$15:$K$58))</f>
        <v>0</v>
      </c>
      <c r="E56" s="73"/>
    </row>
    <row r="57" spans="2:6" x14ac:dyDescent="0.2">
      <c r="B57" s="317"/>
      <c r="C57" s="91" t="s">
        <v>220</v>
      </c>
      <c r="D57" s="132">
        <f>SUM(D51:D56)</f>
        <v>0</v>
      </c>
      <c r="E57" s="132">
        <f>SUM(E51:E56)</f>
        <v>0</v>
      </c>
    </row>
    <row r="58" spans="2:6" x14ac:dyDescent="0.2">
      <c r="B58" s="317"/>
      <c r="C58" s="57" t="s">
        <v>221</v>
      </c>
      <c r="D58" s="133"/>
      <c r="E58" s="133"/>
    </row>
    <row r="59" spans="2:6" x14ac:dyDescent="0.2">
      <c r="B59" s="316" t="s">
        <v>761</v>
      </c>
      <c r="C59" s="56" t="s">
        <v>204</v>
      </c>
      <c r="D59" s="132">
        <f>IF(Cover!C23="Scheme pipeline","-",SUMIF('3.5 Depreciation amortisation'!$D$15:$D$58,'3.1 Depreciated Book Value'!C58,'3.5 Depreciation amortisation'!$H$15:$H$58))</f>
        <v>2290250.0206417115</v>
      </c>
      <c r="E59" s="304">
        <v>2261909</v>
      </c>
    </row>
    <row r="60" spans="2:6" x14ac:dyDescent="0.2">
      <c r="B60" s="316" t="s">
        <v>761</v>
      </c>
      <c r="C60" s="56" t="s">
        <v>205</v>
      </c>
      <c r="D60" s="132">
        <f>IF(Cover!C23="Scheme pipeline","-",SUMIF('3.5 Depreciation amortisation'!$D$15:$D$58,'3.1 Depreciated Book Value'!C58,'3.5 Depreciation amortisation'!$I$15:$I$58))</f>
        <v>0</v>
      </c>
      <c r="E60" s="304"/>
    </row>
    <row r="61" spans="2:6" x14ac:dyDescent="0.2">
      <c r="B61" s="316" t="s">
        <v>761</v>
      </c>
      <c r="C61" s="56" t="s">
        <v>206</v>
      </c>
      <c r="D61" s="132">
        <f>IF(Cover!C23="Scheme pipeline","-",SUMIF('3.5 Depreciation amortisation'!$D$15:$D$58,'3.1 Depreciated Book Value'!C58,'3.5 Depreciation amortisation'!$J$15:$J$58))</f>
        <v>200436.98727272727</v>
      </c>
      <c r="E61" s="304">
        <v>28341</v>
      </c>
    </row>
    <row r="62" spans="2:6" ht="11.25" customHeight="1" x14ac:dyDescent="0.2">
      <c r="B62" s="316" t="s">
        <v>761</v>
      </c>
      <c r="C62" s="56" t="s">
        <v>208</v>
      </c>
      <c r="D62" s="132">
        <f>IF(Cover!C23="Scheme pipeline","-",-ABS(SUMIF('3.5 Depreciation amortisation'!$D$15:$D$58,'3.1 Depreciated Book Value'!C58,'3.5 Depreciation amortisation'!$O$15:$O$58)+SUMIF('3.5 Depreciation amortisation'!$D$15:$D$58,'3.1 Depreciated Book Value'!C58,'3.5 Depreciation amortisation'!$P$15:$P$58))-D63)</f>
        <v>-2042941</v>
      </c>
      <c r="E62" s="304">
        <v>-2009219</v>
      </c>
      <c r="F62" s="247"/>
    </row>
    <row r="63" spans="2:6" ht="11.25" customHeight="1" x14ac:dyDescent="0.2">
      <c r="B63" s="316" t="s">
        <v>761</v>
      </c>
      <c r="C63" s="56" t="s">
        <v>209</v>
      </c>
      <c r="D63" s="132">
        <f>IF(Cover!C23="Scheme pipeline","-",-ABS(SUMIF('3.4 Asset impairment'!$C$10:$C$24,'3.1 Depreciated Book Value'!C58,'3.4 Asset impairment'!$D$10:$D$24))+SUMIF('3.4 Asset impairment'!$C$30:$C$56,'3.1 Depreciated Book Value'!C58,'3.4 Asset impairment'!$G$30:$G$56))</f>
        <v>0</v>
      </c>
      <c r="E63" s="304"/>
      <c r="F63" s="247"/>
    </row>
    <row r="64" spans="2:6" ht="11.25" customHeight="1" x14ac:dyDescent="0.2">
      <c r="B64" s="316" t="s">
        <v>761</v>
      </c>
      <c r="C64" s="56" t="s">
        <v>210</v>
      </c>
      <c r="D64" s="132">
        <f>IF(Cover!C23="Scheme pipeline","-",SUMIF('3.5 Depreciation amortisation'!$D$15:$D$58,'3.1 Depreciated Book Value'!C58,'3.5 Depreciation amortisation'!$K$15:$K$58))</f>
        <v>0</v>
      </c>
      <c r="E64" s="304"/>
    </row>
    <row r="65" spans="2:6" x14ac:dyDescent="0.2">
      <c r="B65" s="317"/>
      <c r="C65" s="91" t="s">
        <v>222</v>
      </c>
      <c r="D65" s="132">
        <f>SUM(D59:D64)</f>
        <v>447746.00791443884</v>
      </c>
      <c r="E65" s="132">
        <f>SUM(E59:E64)</f>
        <v>281031</v>
      </c>
    </row>
    <row r="66" spans="2:6" x14ac:dyDescent="0.2">
      <c r="B66" s="317"/>
      <c r="C66" s="57" t="s">
        <v>223</v>
      </c>
      <c r="D66" s="133"/>
      <c r="E66" s="133"/>
    </row>
    <row r="67" spans="2:6" x14ac:dyDescent="0.2">
      <c r="B67" s="316" t="s">
        <v>761</v>
      </c>
      <c r="C67" s="56" t="s">
        <v>204</v>
      </c>
      <c r="D67" s="132">
        <f>IF(Cover!C23="Scheme pipeline","-",SUMIF('3.5 Depreciation amortisation'!$D$15:$D$58,'3.1 Depreciated Book Value'!C66,'3.5 Depreciation amortisation'!$H$15:$H$58))</f>
        <v>595765.81000000006</v>
      </c>
      <c r="E67" s="73">
        <v>595766</v>
      </c>
    </row>
    <row r="68" spans="2:6" x14ac:dyDescent="0.2">
      <c r="B68" s="316" t="s">
        <v>761</v>
      </c>
      <c r="C68" s="56" t="s">
        <v>205</v>
      </c>
      <c r="D68" s="132">
        <f>IF(Cover!C23="Scheme pipeline","-",SUMIF('3.5 Depreciation amortisation'!$D$15:$D$58,'3.1 Depreciated Book Value'!C66,'3.5 Depreciation amortisation'!$I$15:$I$58))</f>
        <v>0</v>
      </c>
      <c r="E68" s="73"/>
    </row>
    <row r="69" spans="2:6" x14ac:dyDescent="0.2">
      <c r="B69" s="316" t="s">
        <v>761</v>
      </c>
      <c r="C69" s="56" t="s">
        <v>206</v>
      </c>
      <c r="D69" s="132">
        <f>IF(Cover!C23="Scheme pipeline","-",SUMIF('3.5 Depreciation amortisation'!$D$15:$D$58,'3.1 Depreciated Book Value'!C66,'3.5 Depreciation amortisation'!$J$15:$J$58))</f>
        <v>69106.354999999996</v>
      </c>
      <c r="E69" s="73"/>
    </row>
    <row r="70" spans="2:6" x14ac:dyDescent="0.2">
      <c r="B70" s="316" t="s">
        <v>761</v>
      </c>
      <c r="C70" s="56" t="s">
        <v>208</v>
      </c>
      <c r="D70" s="132">
        <f>IF(Cover!C23="Scheme pipeline","-",-ABS(SUMIF('3.5 Depreciation amortisation'!$D$15:$D$58,'3.1 Depreciated Book Value'!C66,'3.5 Depreciation amortisation'!$O$15:$O$58)+SUMIF('3.5 Depreciation amortisation'!$D$15:$D$58,'3.1 Depreciated Book Value'!C66,'3.5 Depreciation amortisation'!$P$15:$P$58))-D71)</f>
        <v>-68532.5</v>
      </c>
      <c r="E70" s="73">
        <v>-60654</v>
      </c>
      <c r="F70" s="247"/>
    </row>
    <row r="71" spans="2:6" x14ac:dyDescent="0.2">
      <c r="B71" s="316" t="s">
        <v>761</v>
      </c>
      <c r="C71" s="56" t="s">
        <v>209</v>
      </c>
      <c r="D71" s="132">
        <f>IF(Cover!C23="Scheme pipeline","-",-ABS(SUMIF('3.4 Asset impairment'!$C$10:$C$24,'3.1 Depreciated Book Value'!C66,'3.4 Asset impairment'!$D$10:$D$24))+SUMIF('3.4 Asset impairment'!$C$30:$C$56,'3.1 Depreciated Book Value'!C66,'3.4 Asset impairment'!$G$30:$G$56))</f>
        <v>0</v>
      </c>
      <c r="E71" s="73"/>
      <c r="F71" s="247"/>
    </row>
    <row r="72" spans="2:6" ht="11.25" customHeight="1" x14ac:dyDescent="0.2">
      <c r="B72" s="316" t="s">
        <v>761</v>
      </c>
      <c r="C72" s="56" t="s">
        <v>210</v>
      </c>
      <c r="D72" s="132">
        <f>IF(Cover!C23="Scheme pipeline","-",SUMIF('3.5 Depreciation amortisation'!$D$15:$D$58,'3.1 Depreciated Book Value'!C66,'3.5 Depreciation amortisation'!$K$15:$K$58))</f>
        <v>0</v>
      </c>
      <c r="E72" s="73"/>
    </row>
    <row r="73" spans="2:6" x14ac:dyDescent="0.2">
      <c r="B73" s="317"/>
      <c r="C73" s="91" t="s">
        <v>224</v>
      </c>
      <c r="D73" s="132">
        <f>SUM(D67:D72)</f>
        <v>596339.66500000004</v>
      </c>
      <c r="E73" s="132">
        <f>SUM(E67:E72)</f>
        <v>535112</v>
      </c>
    </row>
    <row r="74" spans="2:6" x14ac:dyDescent="0.2">
      <c r="B74" s="317"/>
      <c r="C74" s="57" t="s">
        <v>225</v>
      </c>
      <c r="D74" s="133"/>
      <c r="E74" s="133"/>
    </row>
    <row r="75" spans="2:6" x14ac:dyDescent="0.2">
      <c r="B75" s="316" t="s">
        <v>761</v>
      </c>
      <c r="C75" s="56" t="s">
        <v>204</v>
      </c>
      <c r="D75" s="132">
        <f>IF(Cover!C23="Scheme pipeline","-",SUMIF('3.5 Depreciation amortisation'!$D$15:$D$58,'3.1 Depreciated Book Value'!C74,'3.5 Depreciation amortisation'!$H$15:$H$58))</f>
        <v>7647681.1120850155</v>
      </c>
      <c r="E75" s="73">
        <v>7647681</v>
      </c>
    </row>
    <row r="76" spans="2:6" x14ac:dyDescent="0.2">
      <c r="B76" s="316" t="s">
        <v>761</v>
      </c>
      <c r="C76" s="56" t="s">
        <v>205</v>
      </c>
      <c r="D76" s="132">
        <f>IF(Cover!C23="Scheme pipeline","-",SUMIF('3.5 Depreciation amortisation'!$D$15:$D$58,'3.1 Depreciated Book Value'!C74,'3.5 Depreciation amortisation'!$I$15:$I$58))</f>
        <v>0</v>
      </c>
      <c r="E76" s="73"/>
    </row>
    <row r="77" spans="2:6" x14ac:dyDescent="0.2">
      <c r="B77" s="316" t="s">
        <v>761</v>
      </c>
      <c r="C77" s="56" t="s">
        <v>206</v>
      </c>
      <c r="D77" s="132">
        <f>IF(Cover!C23="Scheme pipeline","-",SUMIF('3.5 Depreciation amortisation'!$D$15:$D$58,'3.1 Depreciated Book Value'!C74,'3.5 Depreciation amortisation'!$J$15:$J$58))</f>
        <v>6223.3</v>
      </c>
      <c r="E77" s="73"/>
    </row>
    <row r="78" spans="2:6" x14ac:dyDescent="0.2">
      <c r="B78" s="316" t="s">
        <v>761</v>
      </c>
      <c r="C78" s="56" t="s">
        <v>209</v>
      </c>
      <c r="D78" s="132">
        <f>IF(Cover!C23="Scheme pipeline","-",-ABS(SUMIF('3.4 Asset impairment'!$C$10:$C$24,'3.1 Depreciated Book Value'!C74,'3.4 Asset impairment'!$D$10:$D$24))+SUMIF('3.4 Asset impairment'!$C$30:$C$56,'3.1 Depreciated Book Value'!C74,'3.4 Asset impairment'!$G$30:$G$56))</f>
        <v>0</v>
      </c>
      <c r="E78" s="73"/>
    </row>
    <row r="79" spans="2:6" ht="11.25" customHeight="1" x14ac:dyDescent="0.2">
      <c r="B79" s="316" t="s">
        <v>761</v>
      </c>
      <c r="C79" s="56" t="s">
        <v>210</v>
      </c>
      <c r="D79" s="132">
        <f>IF(Cover!C23="Scheme pipeline","-",SUMIF('3.5 Depreciation amortisation'!$D$15:$D$58,'3.1 Depreciated Book Value'!C74,'3.5 Depreciation amortisation'!$K$15:$K$58))</f>
        <v>0</v>
      </c>
      <c r="E79" s="73"/>
    </row>
    <row r="80" spans="2:6" x14ac:dyDescent="0.2">
      <c r="B80" s="317"/>
      <c r="C80" s="91" t="s">
        <v>226</v>
      </c>
      <c r="D80" s="132">
        <f>SUM(D75:D79)</f>
        <v>7653904.4120850153</v>
      </c>
      <c r="E80" s="132">
        <f>SUM(E75:E79)</f>
        <v>7647681</v>
      </c>
    </row>
    <row r="81" spans="2:8" x14ac:dyDescent="0.2">
      <c r="B81" s="317"/>
      <c r="C81" s="57" t="s">
        <v>227</v>
      </c>
      <c r="D81" s="133"/>
      <c r="E81" s="133"/>
      <c r="G81" s="268"/>
      <c r="H81" s="268"/>
    </row>
    <row r="82" spans="2:8" s="268" customFormat="1" x14ac:dyDescent="0.2">
      <c r="B82" s="316" t="s">
        <v>761</v>
      </c>
      <c r="C82" s="56" t="s">
        <v>204</v>
      </c>
      <c r="D82" s="132">
        <f>IF(Cover!C23="Scheme pipeline","-",SUMIF('3.5 Depreciation amortisation'!$D$15:$D$58,'3.1 Depreciated Book Value'!C81,'3.5 Depreciation amortisation'!$H$15:$H$58))</f>
        <v>904084.46380971733</v>
      </c>
      <c r="E82" s="134">
        <v>595902</v>
      </c>
      <c r="F82" s="269"/>
    </row>
    <row r="83" spans="2:8" s="268" customFormat="1" x14ac:dyDescent="0.2">
      <c r="B83" s="316" t="s">
        <v>761</v>
      </c>
      <c r="C83" s="56" t="s">
        <v>205</v>
      </c>
      <c r="D83" s="132">
        <f>IF(Cover!C23="Scheme pipeline","-",SUMIF('3.5 Depreciation amortisation'!$D$15:$D$58,'3.1 Depreciated Book Value'!C81,'3.5 Depreciation amortisation'!$I$15:$I$58))</f>
        <v>85660.985796999797</v>
      </c>
      <c r="E83" s="134">
        <v>308182.42414700019</v>
      </c>
      <c r="F83" s="269"/>
    </row>
    <row r="84" spans="2:8" s="268" customFormat="1" x14ac:dyDescent="0.2">
      <c r="B84" s="316" t="s">
        <v>761</v>
      </c>
      <c r="C84" s="56" t="s">
        <v>206</v>
      </c>
      <c r="D84" s="132">
        <f>IF(Cover!C23="Scheme pipeline","-",SUMIF('3.5 Depreciation amortisation'!$D$15:$D$58,'3.1 Depreciated Book Value'!C81,'3.5 Depreciation amortisation'!$J$15:$J$58))</f>
        <v>0</v>
      </c>
      <c r="E84" s="134"/>
      <c r="F84" s="269"/>
    </row>
    <row r="85" spans="2:8" s="268" customFormat="1" x14ac:dyDescent="0.2">
      <c r="B85" s="316" t="s">
        <v>761</v>
      </c>
      <c r="C85" s="56" t="s">
        <v>208</v>
      </c>
      <c r="D85" s="132">
        <f>IF(Cover!C23="Scheme pipeline","-",-ABS(SUMIF('3.5 Depreciation amortisation'!$D$15:$D$58,'3.1 Depreciated Book Value'!C81,'3.5 Depreciation amortisation'!$O$15:$O$58)+SUMIF('3.5 Depreciation amortisation'!$D$15:$D$58,'3.1 Depreciated Book Value'!C81,'3.5 Depreciation amortisation'!$P$15:$P$58))-D86)</f>
        <v>-477397</v>
      </c>
      <c r="E85" s="134">
        <v>-409218</v>
      </c>
      <c r="F85" s="269"/>
    </row>
    <row r="86" spans="2:8" s="268" customFormat="1" x14ac:dyDescent="0.2">
      <c r="B86" s="316" t="s">
        <v>761</v>
      </c>
      <c r="C86" s="56" t="s">
        <v>209</v>
      </c>
      <c r="D86" s="132">
        <f>IF(Cover!C23="Scheme pipeline","-",-ABS(SUMIF('3.4 Asset impairment'!$C$10:$C$24,'3.1 Depreciated Book Value'!C81,'3.4 Asset impairment'!$D$10:$D$24))+SUMIF('3.4 Asset impairment'!$C$30:$C$56,'3.1 Depreciated Book Value'!C81,'3.4 Asset impairment'!$G$30:$G$56))</f>
        <v>0</v>
      </c>
      <c r="E86" s="134"/>
      <c r="F86" s="269"/>
    </row>
    <row r="87" spans="2:8" s="268" customFormat="1" x14ac:dyDescent="0.2">
      <c r="B87" s="316" t="s">
        <v>761</v>
      </c>
      <c r="C87" s="56" t="s">
        <v>210</v>
      </c>
      <c r="D87" s="132">
        <f>IF(Cover!C23="Scheme pipeline","-",SUMIF('3.5 Depreciation amortisation'!$D$15:$D$58,'3.1 Depreciated Book Value'!C81,'3.5 Depreciation amortisation'!$K$15:$K$58))</f>
        <v>0</v>
      </c>
      <c r="E87" s="134"/>
      <c r="G87" s="4"/>
      <c r="H87" s="4"/>
    </row>
    <row r="88" spans="2:8" x14ac:dyDescent="0.2">
      <c r="B88" s="317"/>
      <c r="C88" s="91" t="s">
        <v>228</v>
      </c>
      <c r="D88" s="132">
        <f>SUM(D82:D87)</f>
        <v>512348.4496067171</v>
      </c>
      <c r="E88" s="132">
        <f>SUM(E82:E87)</f>
        <v>494866.42414700019</v>
      </c>
    </row>
    <row r="89" spans="2:8" x14ac:dyDescent="0.2">
      <c r="B89" s="317"/>
      <c r="C89" s="57" t="s">
        <v>229</v>
      </c>
      <c r="D89" s="133"/>
      <c r="E89" s="133"/>
      <c r="F89" s="106"/>
    </row>
    <row r="90" spans="2:8" x14ac:dyDescent="0.2">
      <c r="B90" s="316" t="s">
        <v>761</v>
      </c>
      <c r="C90" s="56" t="s">
        <v>204</v>
      </c>
      <c r="D90" s="132">
        <f>IF(Cover!C23="Scheme pipeline","-",SUMIF('3.5 Depreciation amortisation'!$D$15:$D$58,'3.1 Depreciated Book Value'!C89,'3.5 Depreciation amortisation'!$H$15:$H$58))</f>
        <v>0</v>
      </c>
      <c r="E90" s="73"/>
      <c r="F90" s="106"/>
    </row>
    <row r="91" spans="2:8" x14ac:dyDescent="0.2">
      <c r="B91" s="316" t="s">
        <v>761</v>
      </c>
      <c r="C91" s="56" t="s">
        <v>205</v>
      </c>
      <c r="D91" s="132">
        <f>IF(Cover!C23="Scheme pipeline","-",SUMIF('3.5 Depreciation amortisation'!$D$15:$D$58,'3.1 Depreciated Book Value'!C89,'3.5 Depreciation amortisation'!$I$15:$I$58))</f>
        <v>0</v>
      </c>
      <c r="E91" s="73"/>
      <c r="F91" s="106"/>
    </row>
    <row r="92" spans="2:8" x14ac:dyDescent="0.2">
      <c r="B92" s="316" t="s">
        <v>761</v>
      </c>
      <c r="C92" s="56" t="s">
        <v>206</v>
      </c>
      <c r="D92" s="132">
        <f>IF(Cover!C23="Scheme pipeline","-",SUMIF('3.5 Depreciation amortisation'!$D$15:$D$58,'3.1 Depreciated Book Value'!C89,'3.5 Depreciation amortisation'!$J$15:$J$58))</f>
        <v>0</v>
      </c>
      <c r="E92" s="73"/>
      <c r="F92" s="106"/>
    </row>
    <row r="93" spans="2:8" x14ac:dyDescent="0.2">
      <c r="B93" s="316" t="s">
        <v>761</v>
      </c>
      <c r="C93" s="56" t="s">
        <v>230</v>
      </c>
      <c r="D93" s="132">
        <f>IF(Cover!C23="Scheme pipeline","-",-ABS(SUMIF('3.5 Depreciation amortisation'!$D$15:$D$58,'3.1 Depreciated Book Value'!C89,'3.5 Depreciation amortisation'!$O$15:$O$58)+SUMIF('3.5 Depreciation amortisation'!$D$15:$D$58,'3.1 Depreciated Book Value'!C89,'3.5 Depreciation amortisation'!$P$15:$P$58))-D94)</f>
        <v>0</v>
      </c>
      <c r="E93" s="73"/>
      <c r="F93" s="106"/>
      <c r="G93" s="106"/>
    </row>
    <row r="94" spans="2:8" x14ac:dyDescent="0.2">
      <c r="B94" s="316" t="s">
        <v>761</v>
      </c>
      <c r="C94" s="56" t="s">
        <v>209</v>
      </c>
      <c r="D94" s="132">
        <f>IF(Cover!C23="Scheme pipeline","-",-ABS(SUMIF('3.4 Asset impairment'!$C$10:$C$24,'3.1 Depreciated Book Value'!C89,'3.4 Asset impairment'!$D$10:$D$24))+SUMIF('3.4 Asset impairment'!$C$30:$C$56,'3.1 Depreciated Book Value'!C89,'3.4 Asset impairment'!$G$30:$G$56))</f>
        <v>0</v>
      </c>
      <c r="E94" s="73"/>
      <c r="F94" s="106"/>
      <c r="G94" s="106"/>
    </row>
    <row r="95" spans="2:8" ht="11.25" customHeight="1" x14ac:dyDescent="0.2">
      <c r="B95" s="316" t="s">
        <v>761</v>
      </c>
      <c r="C95" s="56" t="s">
        <v>210</v>
      </c>
      <c r="D95" s="132">
        <f>IF(Cover!C23="Scheme pipeline","-",SUMIF('3.5 Depreciation amortisation'!$D$15:$D$58,'3.1 Depreciated Book Value'!C89,'3.5 Depreciation amortisation'!$K$15:$K$58))</f>
        <v>0</v>
      </c>
      <c r="E95" s="73"/>
      <c r="F95" s="106"/>
    </row>
    <row r="96" spans="2:8" x14ac:dyDescent="0.2">
      <c r="B96" s="317"/>
      <c r="C96" s="91" t="s">
        <v>231</v>
      </c>
      <c r="D96" s="132">
        <f>SUM(D90:D95)</f>
        <v>0</v>
      </c>
      <c r="E96" s="132">
        <f>SUM(E90:E95)</f>
        <v>0</v>
      </c>
      <c r="F96" s="106"/>
    </row>
    <row r="97" spans="2:7" x14ac:dyDescent="0.2">
      <c r="B97" s="316" t="s">
        <v>761</v>
      </c>
      <c r="C97" s="57" t="s">
        <v>232</v>
      </c>
      <c r="D97" s="133"/>
      <c r="E97" s="133"/>
    </row>
    <row r="98" spans="2:7" x14ac:dyDescent="0.2">
      <c r="B98" s="316" t="s">
        <v>761</v>
      </c>
      <c r="C98" s="56" t="s">
        <v>204</v>
      </c>
      <c r="D98" s="73"/>
      <c r="E98" s="73"/>
      <c r="F98" s="106"/>
    </row>
    <row r="99" spans="2:7" x14ac:dyDescent="0.2">
      <c r="B99" s="316" t="s">
        <v>761</v>
      </c>
      <c r="C99" s="56" t="s">
        <v>205</v>
      </c>
      <c r="D99" s="73"/>
      <c r="E99" s="73"/>
      <c r="F99" s="106"/>
    </row>
    <row r="100" spans="2:7" x14ac:dyDescent="0.2">
      <c r="B100" s="316" t="s">
        <v>761</v>
      </c>
      <c r="C100" s="56" t="s">
        <v>206</v>
      </c>
      <c r="D100" s="73"/>
      <c r="E100" s="73"/>
      <c r="F100" s="106"/>
    </row>
    <row r="101" spans="2:7" x14ac:dyDescent="0.2">
      <c r="B101" s="316" t="s">
        <v>761</v>
      </c>
      <c r="C101" s="56" t="s">
        <v>210</v>
      </c>
      <c r="D101" s="73"/>
      <c r="E101" s="73"/>
      <c r="F101" s="106"/>
      <c r="G101" s="106"/>
    </row>
    <row r="102" spans="2:7" x14ac:dyDescent="0.2">
      <c r="B102" s="317"/>
      <c r="C102" s="91" t="s">
        <v>233</v>
      </c>
      <c r="D102" s="132">
        <f>SUM(D98:D101)</f>
        <v>0</v>
      </c>
      <c r="E102" s="132">
        <f>SUM(E98:E101)</f>
        <v>0</v>
      </c>
      <c r="F102" s="106"/>
    </row>
    <row r="103" spans="2:7" x14ac:dyDescent="0.2">
      <c r="B103" s="317"/>
      <c r="C103" s="92" t="s">
        <v>234</v>
      </c>
      <c r="D103" s="132">
        <f>SUM(D25,D33,D41,D49,D57,D65,D73,D80,D88,D102,D96)</f>
        <v>253645166.96926564</v>
      </c>
      <c r="E103" s="132">
        <f>SUM(E25,E33,E41,E49,E57,E65,E73,E80,E88,E102,E96)</f>
        <v>261826431.71707222</v>
      </c>
      <c r="F103" s="106"/>
    </row>
    <row r="104" spans="2:7" x14ac:dyDescent="0.2">
      <c r="B104" s="317"/>
      <c r="C104" s="55" t="s">
        <v>235</v>
      </c>
      <c r="D104" s="133"/>
      <c r="E104" s="133"/>
    </row>
    <row r="105" spans="2:7" x14ac:dyDescent="0.2">
      <c r="B105" s="317"/>
      <c r="C105" s="57" t="s">
        <v>236</v>
      </c>
      <c r="D105" s="133"/>
      <c r="E105" s="133"/>
    </row>
    <row r="106" spans="2:7" x14ac:dyDescent="0.2">
      <c r="B106" s="316" t="s">
        <v>762</v>
      </c>
      <c r="C106" s="56" t="s">
        <v>204</v>
      </c>
      <c r="D106" s="132">
        <f>IF(Cover!C23="Scheme pipeline","-",SUMIF('3.5 Depreciation amortisation'!$D$66:$D$83,$C$105,'3.5 Depreciation amortisation'!$G$66:$G$83))</f>
        <v>7537229.3145468729</v>
      </c>
      <c r="E106" s="73">
        <v>7561972</v>
      </c>
      <c r="F106" s="106"/>
    </row>
    <row r="107" spans="2:7" x14ac:dyDescent="0.2">
      <c r="B107" s="316" t="s">
        <v>762</v>
      </c>
      <c r="C107" s="56" t="s">
        <v>205</v>
      </c>
      <c r="D107" s="132">
        <f>IF(Cover!C23="Scheme pipeline","-",SUMIF('3.5 Depreciation amortisation'!$D$66:$D$83,$C$105,'3.5 Depreciation amortisation'!$H$66:$H$83))</f>
        <v>244412.16461627276</v>
      </c>
      <c r="E107" s="73">
        <v>847068</v>
      </c>
      <c r="F107" s="106"/>
    </row>
    <row r="108" spans="2:7" x14ac:dyDescent="0.2">
      <c r="B108" s="316" t="s">
        <v>762</v>
      </c>
      <c r="C108" s="56" t="s">
        <v>206</v>
      </c>
      <c r="D108" s="132">
        <f>IF(Cover!C23="Scheme pipeline","-",SUMIF('3.5 Depreciation amortisation'!$D$66:$D$83,$C$105,'3.5 Depreciation amortisation'!$I$66:$I$83))</f>
        <v>0</v>
      </c>
      <c r="E108" s="73"/>
    </row>
    <row r="109" spans="2:7" x14ac:dyDescent="0.2">
      <c r="B109" s="316" t="s">
        <v>762</v>
      </c>
      <c r="C109" s="56" t="s">
        <v>208</v>
      </c>
      <c r="D109" s="132">
        <f>IF(Cover!C23="Scheme pipeline","-",-ABS(SUMIF('3.5 Depreciation amortisation'!$D$66:$D$83,$C$105,'3.5 Depreciation amortisation'!$N$66:$N$83)+SUMIF('3.5 Depreciation amortisation'!$D$66:$D$83,$C$105,'3.5 Depreciation amortisation'!$O$66:$O$83))-D110)</f>
        <v>-5093034.5</v>
      </c>
      <c r="E109" s="73">
        <v>-4537024</v>
      </c>
      <c r="F109" s="106"/>
    </row>
    <row r="110" spans="2:7" x14ac:dyDescent="0.2">
      <c r="B110" s="316" t="s">
        <v>762</v>
      </c>
      <c r="C110" s="56" t="s">
        <v>209</v>
      </c>
      <c r="D110" s="132">
        <f>IF(Cover!C23="Scheme pipeline","-",-ABS(SUMIF('3.4 Asset impairment'!$C$10:$C$24,'3.1 Depreciated Book Value'!C105,'3.4 Asset impairment'!$D$10:$D$24))+SUMIF('3.4 Asset impairment'!$C$30:$C$56,'3.1 Depreciated Book Value'!C105,'3.4 Asset impairment'!$G$30:$G$56))</f>
        <v>0</v>
      </c>
      <c r="E110" s="73"/>
      <c r="F110" s="106"/>
    </row>
    <row r="111" spans="2:7" x14ac:dyDescent="0.2">
      <c r="B111" s="316" t="s">
        <v>762</v>
      </c>
      <c r="C111" s="56" t="s">
        <v>210</v>
      </c>
      <c r="D111" s="132">
        <f>IF(Cover!C23="Scheme pipeline","-",SUMIF('3.5 Depreciation amortisation'!$D$66:$D$83,$C$105,'3.5 Depreciation amortisation'!$J$66:$J$83))</f>
        <v>0</v>
      </c>
      <c r="E111" s="73">
        <v>-871810.53</v>
      </c>
      <c r="F111" s="106"/>
    </row>
    <row r="112" spans="2:7" x14ac:dyDescent="0.2">
      <c r="B112" s="317"/>
      <c r="C112" s="91" t="s">
        <v>237</v>
      </c>
      <c r="D112" s="132">
        <f>SUM(D106:D111)</f>
        <v>2688606.9791631456</v>
      </c>
      <c r="E112" s="132">
        <f>SUM(E106:E111)</f>
        <v>3000205.4699999997</v>
      </c>
    </row>
    <row r="113" spans="2:7" x14ac:dyDescent="0.2">
      <c r="B113" s="317"/>
      <c r="C113" s="57" t="s">
        <v>238</v>
      </c>
      <c r="D113" s="133"/>
      <c r="E113" s="133"/>
      <c r="F113" s="106"/>
    </row>
    <row r="114" spans="2:7" x14ac:dyDescent="0.2">
      <c r="B114" s="316" t="s">
        <v>762</v>
      </c>
      <c r="C114" s="56" t="s">
        <v>204</v>
      </c>
      <c r="D114" s="132">
        <f>IF(Cover!C23="Scheme pipeline","-",SUMIF('3.5 Depreciation amortisation'!$D$66:$D$83,$C$113,'3.5 Depreciation amortisation'!$G$66:$G$83))</f>
        <v>4794695.5839</v>
      </c>
      <c r="E114" s="73">
        <v>2081394</v>
      </c>
      <c r="F114" s="106"/>
    </row>
    <row r="115" spans="2:7" x14ac:dyDescent="0.2">
      <c r="B115" s="316" t="s">
        <v>762</v>
      </c>
      <c r="C115" s="56" t="s">
        <v>205</v>
      </c>
      <c r="D115" s="132">
        <f>IF(Cover!C23="Scheme pipeline","-",SUMIF('3.5 Depreciation amortisation'!$D$66:$D$83,$C$113,'3.5 Depreciation amortisation'!$H$66:$H$83))</f>
        <v>40548.238499999999</v>
      </c>
      <c r="E115" s="73">
        <v>2713302</v>
      </c>
      <c r="F115" s="106"/>
    </row>
    <row r="116" spans="2:7" x14ac:dyDescent="0.2">
      <c r="B116" s="316" t="s">
        <v>762</v>
      </c>
      <c r="C116" s="56" t="s">
        <v>206</v>
      </c>
      <c r="D116" s="132">
        <f>IF(Cover!C23="Scheme pipeline","-",SUMIF('3.5 Depreciation amortisation'!$D$66:$D$83,$C$113,'3.5 Depreciation amortisation'!$I$66:$I$83))</f>
        <v>0</v>
      </c>
      <c r="E116" s="73"/>
      <c r="F116" s="106"/>
    </row>
    <row r="117" spans="2:7" x14ac:dyDescent="0.2">
      <c r="B117" s="316" t="s">
        <v>762</v>
      </c>
      <c r="C117" s="56" t="s">
        <v>230</v>
      </c>
      <c r="D117" s="132">
        <f>IF(Cover!C23="Scheme pipeline","-",-ABS(SUMIF('3.5 Depreciation amortisation'!$D$66:$D$83,$C$113,'3.5 Depreciation amortisation'!$N$66:$N$83)+SUMIF('3.5 Depreciation amortisation'!$D$66:$D$83,$C$113,'3.5 Depreciation amortisation'!$O$66:$O$83))-D118)</f>
        <v>-2341557.1757999999</v>
      </c>
      <c r="E117" s="73">
        <v>-1994636</v>
      </c>
      <c r="F117" s="106"/>
      <c r="G117" s="106"/>
    </row>
    <row r="118" spans="2:7" x14ac:dyDescent="0.2">
      <c r="B118" s="316" t="s">
        <v>762</v>
      </c>
      <c r="C118" s="56" t="s">
        <v>209</v>
      </c>
      <c r="D118" s="132">
        <f>IF(Cover!C23="Scheme pipeline","-",-ABS(SUMIF('3.4 Asset impairment'!$C$10:$C$24,'3.1 Depreciated Book Value'!C113,'3.4 Asset impairment'!$D$10:$D$24))+SUMIF('3.4 Asset impairment'!$C$30:$C$56,'3.1 Depreciated Book Value'!C113,'3.4 Asset impairment'!$G$30:$G$56))</f>
        <v>0</v>
      </c>
      <c r="E118" s="73"/>
      <c r="F118" s="106"/>
      <c r="G118" s="106"/>
    </row>
    <row r="119" spans="2:7" ht="11.25" customHeight="1" x14ac:dyDescent="0.2">
      <c r="B119" s="316" t="s">
        <v>762</v>
      </c>
      <c r="C119" s="56" t="s">
        <v>210</v>
      </c>
      <c r="D119" s="132">
        <f>IF(Cover!C23="Scheme pipeline","-",SUMIF('3.5 Depreciation amortisation'!$D$66:$D$83,$C$113,'3.5 Depreciation amortisation'!$J$66:$J$83))</f>
        <v>0</v>
      </c>
      <c r="E119" s="73"/>
      <c r="F119" s="106"/>
    </row>
    <row r="120" spans="2:7" x14ac:dyDescent="0.2">
      <c r="B120" s="317"/>
      <c r="C120" s="91" t="s">
        <v>239</v>
      </c>
      <c r="D120" s="132">
        <f>SUM(D114:D119)</f>
        <v>2493686.6466000001</v>
      </c>
      <c r="E120" s="132">
        <f>SUM(E114:E119)</f>
        <v>2800060</v>
      </c>
      <c r="F120" s="106"/>
    </row>
    <row r="121" spans="2:7" x14ac:dyDescent="0.2">
      <c r="B121" s="316" t="s">
        <v>762</v>
      </c>
      <c r="C121" s="57" t="s">
        <v>240</v>
      </c>
      <c r="D121" s="73"/>
      <c r="E121" s="304"/>
      <c r="F121" s="106"/>
    </row>
    <row r="122" spans="2:7" x14ac:dyDescent="0.2">
      <c r="B122" s="316" t="s">
        <v>762</v>
      </c>
      <c r="C122" s="57" t="s">
        <v>241</v>
      </c>
      <c r="D122" s="73"/>
      <c r="E122" s="304"/>
    </row>
    <row r="123" spans="2:7" x14ac:dyDescent="0.2">
      <c r="B123" s="316" t="s">
        <v>762</v>
      </c>
      <c r="C123" s="57" t="s">
        <v>242</v>
      </c>
      <c r="D123" s="335">
        <f>'3.5 Depreciation amortisation'!P72+'3.5 Depreciation amortisation'!P73+'3.5 Depreciation amortisation'!P74</f>
        <v>23439006.649669301</v>
      </c>
      <c r="E123" s="304">
        <f>21932283+461300+636898+1</f>
        <v>23030482</v>
      </c>
    </row>
    <row r="124" spans="2:7" x14ac:dyDescent="0.2">
      <c r="B124" s="288"/>
      <c r="C124" s="93" t="s">
        <v>243</v>
      </c>
      <c r="D124" s="132">
        <f>SUM(D112,D120:D123)</f>
        <v>28621300.275432445</v>
      </c>
      <c r="E124" s="132">
        <f>SUM(E112,E120:E123)</f>
        <v>28830747.469999999</v>
      </c>
      <c r="F124" s="106"/>
    </row>
    <row r="125" spans="2:7" ht="12.75" customHeight="1" x14ac:dyDescent="0.2">
      <c r="B125" s="288"/>
      <c r="C125" s="93" t="s">
        <v>244</v>
      </c>
      <c r="D125" s="135">
        <f>SUM(D103,D124)</f>
        <v>282266467.24469811</v>
      </c>
      <c r="E125" s="135">
        <f>SUM(E103,E124)</f>
        <v>290657179.18707222</v>
      </c>
    </row>
    <row r="128" spans="2:7" ht="15.75" x14ac:dyDescent="0.25">
      <c r="B128" s="214" t="s">
        <v>245</v>
      </c>
    </row>
    <row r="129" spans="2:4" ht="12.75" customHeight="1" x14ac:dyDescent="0.25">
      <c r="B129" s="214"/>
    </row>
    <row r="130" spans="2:4" ht="25.5" x14ac:dyDescent="0.2">
      <c r="B130" s="53" t="s">
        <v>112</v>
      </c>
      <c r="C130" s="54" t="s">
        <v>113</v>
      </c>
      <c r="D130" s="220" t="str">
        <f>IFERROR(VLOOKUP(C132,rInitialyears,2,FALSE),"")</f>
        <v/>
      </c>
    </row>
    <row r="131" spans="2:4" x14ac:dyDescent="0.2">
      <c r="B131" s="53"/>
      <c r="C131" s="93" t="s">
        <v>244</v>
      </c>
      <c r="D131" s="220"/>
    </row>
    <row r="132" spans="2:4" x14ac:dyDescent="0.2">
      <c r="B132" s="328" t="s">
        <v>775</v>
      </c>
      <c r="C132" s="299"/>
      <c r="D132" s="300">
        <v>477843986.30106997</v>
      </c>
    </row>
  </sheetData>
  <sheetProtection algorithmName="SHA-512" hashValue="isXYvFzU/ssnDuNJVgaFse/qzOsMRpY1HO8NPR+2KbSSAh6OQDc6/+TgChSuEGzXAmhLu5DQHxoJ1Zkzii/aYA==" saltValue="0rVee+Hvbers6q7sGlxwaQ==" spinCount="100000" sheet="1" objects="1" scenarios="1"/>
  <mergeCells count="3">
    <mergeCell ref="B13:C13"/>
    <mergeCell ref="B4:C4"/>
    <mergeCell ref="B6:F10"/>
  </mergeCells>
  <phoneticPr fontId="29" type="noConversion"/>
  <dataValidations count="1">
    <dataValidation type="list" allowBlank="1" showInputMessage="1" showErrorMessage="1" sqref="C132" xr:uid="{00000000-0002-0000-0C00-000000000000}">
      <formula1>rInitialcosts</formula1>
    </dataValidation>
  </dataValidations>
  <pageMargins left="0.51181102362204722" right="0.51181102362204722" top="0.35433070866141736" bottom="0.35433070866141736" header="0.31496062992125984" footer="0.31496062992125984"/>
  <pageSetup paperSize="9" scale="47" orientation="portrait" verticalDpi="2"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17415D"/>
    <pageSetUpPr fitToPage="1"/>
  </sheetPr>
  <dimension ref="B1:L119"/>
  <sheetViews>
    <sheetView zoomScale="108" zoomScaleNormal="85" workbookViewId="0">
      <pane xSplit="1" ySplit="9" topLeftCell="B10" activePane="bottomRight" state="frozen"/>
      <selection activeCell="A35" sqref="A35"/>
      <selection pane="topRight" activeCell="A35" sqref="A35"/>
      <selection pane="bottomLeft" activeCell="A35" sqref="A35"/>
      <selection pane="bottomRight" activeCell="B10" sqref="B10"/>
    </sheetView>
  </sheetViews>
  <sheetFormatPr defaultColWidth="9.140625" defaultRowHeight="12.75" x14ac:dyDescent="0.2"/>
  <cols>
    <col min="1" max="1" width="12" style="4" customWidth="1"/>
    <col min="2" max="2" width="34.5703125" style="4" customWidth="1"/>
    <col min="3" max="3" width="70.85546875" style="4" customWidth="1"/>
    <col min="4" max="8" width="20.85546875" style="4" customWidth="1"/>
    <col min="9" max="16384" width="9.140625" style="4"/>
  </cols>
  <sheetData>
    <row r="1" spans="2:8" ht="20.25" x14ac:dyDescent="0.2">
      <c r="B1" s="136" t="s">
        <v>53</v>
      </c>
      <c r="C1" s="136"/>
    </row>
    <row r="2" spans="2:8" ht="20.25" x14ac:dyDescent="0.2">
      <c r="B2" s="136" t="str">
        <f>IF(Tradingname=0," ",Tradingname)</f>
        <v>SEA Gas Partnership</v>
      </c>
      <c r="C2" s="136"/>
      <c r="E2" s="266"/>
    </row>
    <row r="3" spans="2:8" ht="20.25" x14ac:dyDescent="0.3">
      <c r="B3" s="136" t="s">
        <v>30</v>
      </c>
      <c r="C3" s="105">
        <f>IF(Yearending=0, "01/01/2000", Yearending)</f>
        <v>45838</v>
      </c>
    </row>
    <row r="4" spans="2:8" ht="20.25" x14ac:dyDescent="0.3">
      <c r="B4" s="136" t="s">
        <v>246</v>
      </c>
      <c r="C4" s="105">
        <f>'1. Pipeline information'!C15</f>
        <v>0</v>
      </c>
    </row>
    <row r="5" spans="2:8" ht="20.25" x14ac:dyDescent="0.2">
      <c r="B5" s="97" t="s">
        <v>247</v>
      </c>
      <c r="C5" s="97"/>
      <c r="D5" s="249"/>
    </row>
    <row r="6" spans="2:8" x14ac:dyDescent="0.2">
      <c r="D6" s="267"/>
    </row>
    <row r="7" spans="2:8" x14ac:dyDescent="0.2">
      <c r="B7" s="404" t="s">
        <v>248</v>
      </c>
      <c r="C7" s="404"/>
      <c r="D7" s="404"/>
    </row>
    <row r="8" spans="2:8" x14ac:dyDescent="0.2">
      <c r="B8" s="404"/>
      <c r="C8" s="404"/>
      <c r="D8" s="404"/>
    </row>
    <row r="9" spans="2:8" x14ac:dyDescent="0.2">
      <c r="B9" s="404"/>
      <c r="C9" s="404"/>
      <c r="D9" s="404"/>
    </row>
    <row r="12" spans="2:8" ht="15.75" x14ac:dyDescent="0.2">
      <c r="B12" s="407" t="s">
        <v>249</v>
      </c>
      <c r="C12" s="407"/>
      <c r="D12" s="267"/>
    </row>
    <row r="14" spans="2:8" x14ac:dyDescent="0.2">
      <c r="B14" s="267"/>
      <c r="C14" s="267"/>
      <c r="D14" s="409" t="s">
        <v>250</v>
      </c>
      <c r="E14" s="409"/>
      <c r="F14" s="409"/>
      <c r="G14" s="409"/>
      <c r="H14" s="409"/>
    </row>
    <row r="15" spans="2:8" x14ac:dyDescent="0.2">
      <c r="B15" s="53" t="s">
        <v>112</v>
      </c>
      <c r="C15" s="220" t="s">
        <v>113</v>
      </c>
      <c r="D15" s="220" t="str">
        <f>YEAR(Yearstart)-4&amp;"-"&amp;RIGHT(YEAR(Yearstart)-3,2)</f>
        <v>2020-21</v>
      </c>
      <c r="E15" s="220" t="str">
        <f>YEAR(Yearstart)-3&amp;"-"&amp;RIGHT(YEAR(Yearstart)-2,2)</f>
        <v>2021-22</v>
      </c>
      <c r="F15" s="54" t="str">
        <f>YEAR(Yearstart)-2&amp;"-"&amp;RIGHT(YEAR(Yearstart)-1,2)</f>
        <v>2022-23</v>
      </c>
      <c r="G15" s="54" t="str">
        <f>YEAR(Yearstart)-1&amp;"-"&amp;RIGHT(YEAR(Yearstart),2)</f>
        <v>2023-24</v>
      </c>
      <c r="H15" s="220" t="str">
        <f>YEAR(Yearstart)&amp;"-"&amp;RIGHT(YEAR(Yearstart)+1,2)</f>
        <v>2024-25</v>
      </c>
    </row>
    <row r="16" spans="2:8" x14ac:dyDescent="0.2">
      <c r="B16" s="293"/>
      <c r="C16" s="54"/>
      <c r="D16" s="54"/>
      <c r="E16" s="54"/>
      <c r="F16" s="54"/>
      <c r="G16" s="54"/>
      <c r="H16" s="220"/>
    </row>
    <row r="17" spans="2:12" x14ac:dyDescent="0.2">
      <c r="B17" s="291"/>
      <c r="C17" s="57" t="s">
        <v>251</v>
      </c>
      <c r="D17" s="162" t="s">
        <v>252</v>
      </c>
      <c r="E17" s="162" t="s">
        <v>252</v>
      </c>
      <c r="F17" s="162" t="s">
        <v>252</v>
      </c>
      <c r="G17" s="162" t="s">
        <v>252</v>
      </c>
      <c r="H17" s="162" t="s">
        <v>252</v>
      </c>
    </row>
    <row r="18" spans="2:12" x14ac:dyDescent="0.2">
      <c r="B18" s="292"/>
      <c r="C18" s="163" t="s">
        <v>253</v>
      </c>
      <c r="D18" s="73"/>
      <c r="E18" s="132">
        <f>D23</f>
        <v>0</v>
      </c>
      <c r="F18" s="132">
        <f>E23</f>
        <v>0</v>
      </c>
      <c r="G18" s="132">
        <f>F23</f>
        <v>0</v>
      </c>
      <c r="H18" s="132">
        <f>G23</f>
        <v>0</v>
      </c>
    </row>
    <row r="19" spans="2:12" x14ac:dyDescent="0.2">
      <c r="B19" s="292"/>
      <c r="C19" s="163" t="s">
        <v>254</v>
      </c>
      <c r="D19" s="73"/>
      <c r="E19" s="73"/>
      <c r="F19" s="73"/>
      <c r="G19" s="73"/>
      <c r="H19" s="73"/>
    </row>
    <row r="20" spans="2:12" x14ac:dyDescent="0.2">
      <c r="B20" s="291"/>
      <c r="C20" s="91" t="s">
        <v>255</v>
      </c>
      <c r="D20" s="132">
        <f>SUM(D18:D19)</f>
        <v>0</v>
      </c>
      <c r="E20" s="132">
        <f>SUM(E18:E19)</f>
        <v>0</v>
      </c>
      <c r="F20" s="132">
        <f>SUM(F18:F19)</f>
        <v>0</v>
      </c>
      <c r="G20" s="132">
        <f>SUM(G18:G19)</f>
        <v>0</v>
      </c>
      <c r="H20" s="132">
        <f>SUM(H18:H19)</f>
        <v>0</v>
      </c>
    </row>
    <row r="21" spans="2:12" x14ac:dyDescent="0.2">
      <c r="B21" s="292"/>
      <c r="C21" s="163" t="s">
        <v>256</v>
      </c>
      <c r="D21" s="73"/>
      <c r="E21" s="73"/>
      <c r="F21" s="73"/>
      <c r="G21" s="73"/>
      <c r="H21" s="73"/>
    </row>
    <row r="22" spans="2:12" x14ac:dyDescent="0.2">
      <c r="B22" s="292"/>
      <c r="C22" s="163" t="s">
        <v>257</v>
      </c>
      <c r="D22" s="73"/>
      <c r="E22" s="73"/>
      <c r="F22" s="73"/>
      <c r="G22" s="73"/>
      <c r="H22" s="73"/>
      <c r="L22" s="20"/>
    </row>
    <row r="23" spans="2:12" x14ac:dyDescent="0.2">
      <c r="B23" s="291"/>
      <c r="C23" s="91" t="s">
        <v>258</v>
      </c>
      <c r="D23" s="132">
        <f>SUM(D20:D22)</f>
        <v>0</v>
      </c>
      <c r="E23" s="132">
        <f>SUM(E20:E22)</f>
        <v>0</v>
      </c>
      <c r="F23" s="132">
        <f>SUM(F20:F22)</f>
        <v>0</v>
      </c>
      <c r="G23" s="132">
        <f>SUM(G20:G22)</f>
        <v>0</v>
      </c>
      <c r="H23" s="132">
        <f>SUM(H20:H22)</f>
        <v>0</v>
      </c>
    </row>
    <row r="24" spans="2:12" x14ac:dyDescent="0.2">
      <c r="B24" s="291"/>
      <c r="C24" s="57" t="s">
        <v>259</v>
      </c>
      <c r="D24" s="220"/>
      <c r="E24" s="220"/>
      <c r="F24" s="220"/>
      <c r="G24" s="220"/>
      <c r="H24" s="220"/>
    </row>
    <row r="25" spans="2:12" x14ac:dyDescent="0.2">
      <c r="B25" s="292"/>
      <c r="C25" s="163" t="s">
        <v>253</v>
      </c>
      <c r="D25" s="73"/>
      <c r="E25" s="132">
        <f>D29</f>
        <v>0</v>
      </c>
      <c r="F25" s="132">
        <f>E29</f>
        <v>0</v>
      </c>
      <c r="G25" s="132">
        <f>F29</f>
        <v>0</v>
      </c>
      <c r="H25" s="132">
        <f>G29</f>
        <v>0</v>
      </c>
    </row>
    <row r="26" spans="2:12" x14ac:dyDescent="0.2">
      <c r="B26" s="292"/>
      <c r="C26" s="163" t="s">
        <v>260</v>
      </c>
      <c r="D26" s="73"/>
      <c r="E26" s="73"/>
      <c r="F26" s="73"/>
      <c r="G26" s="73"/>
      <c r="H26" s="73"/>
    </row>
    <row r="27" spans="2:12" x14ac:dyDescent="0.2">
      <c r="B27" s="292"/>
      <c r="C27" s="163" t="s">
        <v>261</v>
      </c>
      <c r="D27" s="73"/>
      <c r="E27" s="73"/>
      <c r="F27" s="73"/>
      <c r="G27" s="73"/>
      <c r="H27" s="73"/>
    </row>
    <row r="28" spans="2:12" x14ac:dyDescent="0.2">
      <c r="B28" s="292"/>
      <c r="C28" s="163" t="s">
        <v>262</v>
      </c>
      <c r="D28" s="73"/>
      <c r="E28" s="73"/>
      <c r="F28" s="73"/>
      <c r="G28" s="73"/>
      <c r="H28" s="73"/>
    </row>
    <row r="29" spans="2:12" x14ac:dyDescent="0.2">
      <c r="B29" s="291"/>
      <c r="C29" s="91" t="s">
        <v>263</v>
      </c>
      <c r="D29" s="132">
        <f>SUM(D25:D28)</f>
        <v>0</v>
      </c>
      <c r="E29" s="132">
        <f>SUM(E25:E28)</f>
        <v>0</v>
      </c>
      <c r="F29" s="132">
        <f>SUM(F25:F28)</f>
        <v>0</v>
      </c>
      <c r="G29" s="132">
        <f>SUM(G25:G28)</f>
        <v>0</v>
      </c>
      <c r="H29" s="132">
        <f>SUM(H25:H28)</f>
        <v>0</v>
      </c>
    </row>
    <row r="30" spans="2:12" x14ac:dyDescent="0.2">
      <c r="B30" s="291"/>
      <c r="C30" s="57" t="s">
        <v>264</v>
      </c>
      <c r="D30" s="220"/>
      <c r="E30" s="220"/>
      <c r="F30" s="220"/>
      <c r="G30" s="220"/>
      <c r="H30" s="220"/>
    </row>
    <row r="31" spans="2:12" x14ac:dyDescent="0.2">
      <c r="B31" s="292"/>
      <c r="C31" s="163" t="s">
        <v>253</v>
      </c>
      <c r="D31" s="73"/>
      <c r="E31" s="132">
        <f>D35</f>
        <v>0</v>
      </c>
      <c r="F31" s="132">
        <f>E35</f>
        <v>0</v>
      </c>
      <c r="G31" s="132">
        <f>F35</f>
        <v>0</v>
      </c>
      <c r="H31" s="132">
        <f>G35</f>
        <v>0</v>
      </c>
    </row>
    <row r="32" spans="2:12" x14ac:dyDescent="0.2">
      <c r="B32" s="292"/>
      <c r="C32" s="163" t="s">
        <v>265</v>
      </c>
      <c r="D32" s="73"/>
      <c r="E32" s="73"/>
      <c r="F32" s="73"/>
      <c r="G32" s="73"/>
      <c r="H32" s="73"/>
    </row>
    <row r="33" spans="2:8" ht="11.25" customHeight="1" x14ac:dyDescent="0.2">
      <c r="B33" s="292"/>
      <c r="C33" s="163" t="s">
        <v>266</v>
      </c>
      <c r="D33" s="73"/>
      <c r="E33" s="73"/>
      <c r="F33" s="73"/>
      <c r="G33" s="73"/>
      <c r="H33" s="73"/>
    </row>
    <row r="34" spans="2:8" x14ac:dyDescent="0.2">
      <c r="B34" s="292"/>
      <c r="C34" s="163" t="s">
        <v>262</v>
      </c>
      <c r="D34" s="73"/>
      <c r="E34" s="73"/>
      <c r="F34" s="73"/>
      <c r="G34" s="73"/>
      <c r="H34" s="73"/>
    </row>
    <row r="35" spans="2:8" x14ac:dyDescent="0.2">
      <c r="B35" s="291"/>
      <c r="C35" s="91" t="s">
        <v>267</v>
      </c>
      <c r="D35" s="132">
        <f>SUM(D31:D34)</f>
        <v>0</v>
      </c>
      <c r="E35" s="132">
        <f>SUM(E31:E34)</f>
        <v>0</v>
      </c>
      <c r="F35" s="132">
        <f>SUM(F31:F34)</f>
        <v>0</v>
      </c>
      <c r="G35" s="132">
        <f>SUM(G31:G34)</f>
        <v>0</v>
      </c>
      <c r="H35" s="132">
        <f>SUM(H31:H34)</f>
        <v>0</v>
      </c>
    </row>
    <row r="36" spans="2:8" x14ac:dyDescent="0.2">
      <c r="B36" s="291"/>
      <c r="C36" s="57" t="s">
        <v>268</v>
      </c>
      <c r="D36" s="220"/>
      <c r="E36" s="220"/>
      <c r="F36" s="220"/>
      <c r="G36" s="220"/>
      <c r="H36" s="220"/>
    </row>
    <row r="37" spans="2:8" x14ac:dyDescent="0.2">
      <c r="B37" s="292"/>
      <c r="C37" s="163" t="s">
        <v>253</v>
      </c>
      <c r="D37" s="73"/>
      <c r="E37" s="132">
        <f>D41</f>
        <v>0</v>
      </c>
      <c r="F37" s="132">
        <f>E41</f>
        <v>0</v>
      </c>
      <c r="G37" s="132">
        <f>F41</f>
        <v>0</v>
      </c>
      <c r="H37" s="132">
        <f>G41</f>
        <v>0</v>
      </c>
    </row>
    <row r="38" spans="2:8" x14ac:dyDescent="0.2">
      <c r="B38" s="292"/>
      <c r="C38" s="163" t="s">
        <v>260</v>
      </c>
      <c r="D38" s="73"/>
      <c r="E38" s="73"/>
      <c r="F38" s="73"/>
      <c r="G38" s="73"/>
      <c r="H38" s="73"/>
    </row>
    <row r="39" spans="2:8" x14ac:dyDescent="0.2">
      <c r="B39" s="292"/>
      <c r="C39" s="163" t="s">
        <v>269</v>
      </c>
      <c r="D39" s="73"/>
      <c r="E39" s="73"/>
      <c r="F39" s="73"/>
      <c r="G39" s="73"/>
      <c r="H39" s="73"/>
    </row>
    <row r="40" spans="2:8" x14ac:dyDescent="0.2">
      <c r="B40" s="292"/>
      <c r="C40" s="163" t="s">
        <v>262</v>
      </c>
      <c r="D40" s="73"/>
      <c r="E40" s="73"/>
      <c r="F40" s="73"/>
      <c r="G40" s="73"/>
      <c r="H40" s="73"/>
    </row>
    <row r="41" spans="2:8" ht="11.25" customHeight="1" x14ac:dyDescent="0.2">
      <c r="B41" s="291"/>
      <c r="C41" s="91" t="s">
        <v>270</v>
      </c>
      <c r="D41" s="132">
        <f>SUM(D37:D40)</f>
        <v>0</v>
      </c>
      <c r="E41" s="132">
        <f>SUM(E37:E40)</f>
        <v>0</v>
      </c>
      <c r="F41" s="132">
        <f>SUM(F37:F40)</f>
        <v>0</v>
      </c>
      <c r="G41" s="132">
        <f>SUM(G37:G40)</f>
        <v>0</v>
      </c>
      <c r="H41" s="132">
        <f>SUM(H37:H40)</f>
        <v>0</v>
      </c>
    </row>
    <row r="42" spans="2:8" x14ac:dyDescent="0.2">
      <c r="B42" s="291"/>
      <c r="C42" s="57" t="s">
        <v>271</v>
      </c>
      <c r="D42" s="220"/>
      <c r="E42" s="220"/>
      <c r="F42" s="220"/>
      <c r="G42" s="220"/>
      <c r="H42" s="220"/>
    </row>
    <row r="43" spans="2:8" x14ac:dyDescent="0.2">
      <c r="B43" s="292"/>
      <c r="C43" s="163" t="s">
        <v>253</v>
      </c>
      <c r="D43" s="73"/>
      <c r="E43" s="132">
        <f>D47</f>
        <v>0</v>
      </c>
      <c r="F43" s="132">
        <f>E47</f>
        <v>0</v>
      </c>
      <c r="G43" s="132">
        <f>F47</f>
        <v>0</v>
      </c>
      <c r="H43" s="132">
        <f>G47</f>
        <v>0</v>
      </c>
    </row>
    <row r="44" spans="2:8" x14ac:dyDescent="0.2">
      <c r="B44" s="292"/>
      <c r="C44" s="163" t="s">
        <v>260</v>
      </c>
      <c r="D44" s="73"/>
      <c r="E44" s="73"/>
      <c r="F44" s="73"/>
      <c r="G44" s="73"/>
      <c r="H44" s="73"/>
    </row>
    <row r="45" spans="2:8" x14ac:dyDescent="0.2">
      <c r="B45" s="292"/>
      <c r="C45" s="163" t="s">
        <v>272</v>
      </c>
      <c r="D45" s="73"/>
      <c r="E45" s="73"/>
      <c r="F45" s="73"/>
      <c r="G45" s="73"/>
      <c r="H45" s="73"/>
    </row>
    <row r="46" spans="2:8" x14ac:dyDescent="0.2">
      <c r="B46" s="292"/>
      <c r="C46" s="163" t="s">
        <v>262</v>
      </c>
      <c r="D46" s="73"/>
      <c r="E46" s="73"/>
      <c r="F46" s="73"/>
      <c r="G46" s="73"/>
      <c r="H46" s="73"/>
    </row>
    <row r="47" spans="2:8" x14ac:dyDescent="0.2">
      <c r="B47" s="291"/>
      <c r="C47" s="91" t="s">
        <v>273</v>
      </c>
      <c r="D47" s="132">
        <f>SUM(D43:D46)</f>
        <v>0</v>
      </c>
      <c r="E47" s="132">
        <f>SUM(E43:E46)</f>
        <v>0</v>
      </c>
      <c r="F47" s="132">
        <f>SUM(F43:F46)</f>
        <v>0</v>
      </c>
      <c r="G47" s="132">
        <f>SUM(G43:G46)</f>
        <v>0</v>
      </c>
      <c r="H47" s="132">
        <f>SUM(H43:H46)</f>
        <v>0</v>
      </c>
    </row>
    <row r="48" spans="2:8" x14ac:dyDescent="0.2">
      <c r="B48" s="291"/>
      <c r="C48" s="57" t="s">
        <v>274</v>
      </c>
      <c r="D48" s="220"/>
      <c r="E48" s="220"/>
      <c r="F48" s="220"/>
      <c r="G48" s="220"/>
      <c r="H48" s="220"/>
    </row>
    <row r="49" spans="2:8" ht="11.25" customHeight="1" x14ac:dyDescent="0.2">
      <c r="B49" s="292"/>
      <c r="C49" s="163" t="s">
        <v>253</v>
      </c>
      <c r="D49" s="73"/>
      <c r="E49" s="132">
        <f>D53</f>
        <v>0</v>
      </c>
      <c r="F49" s="132">
        <f>E53</f>
        <v>0</v>
      </c>
      <c r="G49" s="132">
        <f>F53</f>
        <v>0</v>
      </c>
      <c r="H49" s="132">
        <f>G53</f>
        <v>0</v>
      </c>
    </row>
    <row r="50" spans="2:8" x14ac:dyDescent="0.2">
      <c r="B50" s="292"/>
      <c r="C50" s="163" t="s">
        <v>260</v>
      </c>
      <c r="D50" s="73"/>
      <c r="E50" s="73"/>
      <c r="F50" s="73"/>
      <c r="G50" s="73"/>
      <c r="H50" s="73"/>
    </row>
    <row r="51" spans="2:8" x14ac:dyDescent="0.2">
      <c r="B51" s="292"/>
      <c r="C51" s="163" t="s">
        <v>275</v>
      </c>
      <c r="D51" s="73"/>
      <c r="E51" s="73"/>
      <c r="F51" s="73"/>
      <c r="G51" s="73"/>
      <c r="H51" s="73"/>
    </row>
    <row r="52" spans="2:8" x14ac:dyDescent="0.2">
      <c r="B52" s="292"/>
      <c r="C52" s="163" t="s">
        <v>262</v>
      </c>
      <c r="D52" s="73"/>
      <c r="E52" s="73"/>
      <c r="F52" s="73"/>
      <c r="G52" s="73"/>
      <c r="H52" s="73"/>
    </row>
    <row r="53" spans="2:8" x14ac:dyDescent="0.2">
      <c r="B53" s="291"/>
      <c r="C53" s="91" t="s">
        <v>276</v>
      </c>
      <c r="D53" s="132">
        <f>SUM(D49:D52)</f>
        <v>0</v>
      </c>
      <c r="E53" s="132">
        <f>SUM(E49:E52)</f>
        <v>0</v>
      </c>
      <c r="F53" s="132">
        <f>SUM(F49:F52)</f>
        <v>0</v>
      </c>
      <c r="G53" s="132">
        <f>SUM(G49:G52)</f>
        <v>0</v>
      </c>
      <c r="H53" s="132">
        <f>SUM(H49:H52)</f>
        <v>0</v>
      </c>
    </row>
    <row r="54" spans="2:8" x14ac:dyDescent="0.2">
      <c r="B54" s="291"/>
      <c r="C54" s="57" t="s">
        <v>277</v>
      </c>
      <c r="D54" s="220"/>
      <c r="E54" s="220"/>
      <c r="F54" s="220"/>
      <c r="G54" s="220"/>
      <c r="H54" s="220"/>
    </row>
    <row r="55" spans="2:8" x14ac:dyDescent="0.2">
      <c r="B55" s="292"/>
      <c r="C55" s="163" t="s">
        <v>253</v>
      </c>
      <c r="D55" s="73"/>
      <c r="E55" s="132">
        <f>D59</f>
        <v>0</v>
      </c>
      <c r="F55" s="132">
        <f>E59</f>
        <v>0</v>
      </c>
      <c r="G55" s="132">
        <f>F59</f>
        <v>0</v>
      </c>
      <c r="H55" s="132">
        <f>G59</f>
        <v>0</v>
      </c>
    </row>
    <row r="56" spans="2:8" x14ac:dyDescent="0.2">
      <c r="B56" s="292"/>
      <c r="C56" s="163" t="s">
        <v>260</v>
      </c>
      <c r="D56" s="73"/>
      <c r="E56" s="73"/>
      <c r="F56" s="73"/>
      <c r="G56" s="73"/>
      <c r="H56" s="73"/>
    </row>
    <row r="57" spans="2:8" ht="11.25" customHeight="1" x14ac:dyDescent="0.2">
      <c r="B57" s="292"/>
      <c r="C57" s="163" t="s">
        <v>278</v>
      </c>
      <c r="D57" s="73"/>
      <c r="E57" s="73"/>
      <c r="F57" s="73"/>
      <c r="G57" s="73"/>
      <c r="H57" s="73"/>
    </row>
    <row r="58" spans="2:8" x14ac:dyDescent="0.2">
      <c r="B58" s="292"/>
      <c r="C58" s="163" t="s">
        <v>262</v>
      </c>
      <c r="D58" s="73"/>
      <c r="E58" s="73"/>
      <c r="F58" s="73"/>
      <c r="G58" s="73"/>
      <c r="H58" s="73"/>
    </row>
    <row r="59" spans="2:8" x14ac:dyDescent="0.2">
      <c r="B59" s="291"/>
      <c r="C59" s="91" t="s">
        <v>279</v>
      </c>
      <c r="D59" s="132">
        <f>SUM(D55:D58)</f>
        <v>0</v>
      </c>
      <c r="E59" s="132">
        <f>SUM(E55:E58)</f>
        <v>0</v>
      </c>
      <c r="F59" s="132">
        <f>SUM(F55:F58)</f>
        <v>0</v>
      </c>
      <c r="G59" s="132">
        <f>SUM(G55:G58)</f>
        <v>0</v>
      </c>
      <c r="H59" s="132">
        <f>SUM(H55:H58)</f>
        <v>0</v>
      </c>
    </row>
    <row r="60" spans="2:8" x14ac:dyDescent="0.2">
      <c r="B60" s="291"/>
      <c r="C60" s="57" t="s">
        <v>280</v>
      </c>
      <c r="D60" s="220"/>
      <c r="E60" s="220"/>
      <c r="F60" s="220"/>
      <c r="G60" s="220"/>
      <c r="H60" s="220"/>
    </row>
    <row r="61" spans="2:8" x14ac:dyDescent="0.2">
      <c r="B61" s="292"/>
      <c r="C61" s="163" t="s">
        <v>253</v>
      </c>
      <c r="D61" s="73"/>
      <c r="E61" s="132">
        <f>D65</f>
        <v>0</v>
      </c>
      <c r="F61" s="132">
        <f>E65</f>
        <v>0</v>
      </c>
      <c r="G61" s="132">
        <f>F65</f>
        <v>0</v>
      </c>
      <c r="H61" s="132">
        <f>G65</f>
        <v>0</v>
      </c>
    </row>
    <row r="62" spans="2:8" x14ac:dyDescent="0.2">
      <c r="B62" s="292"/>
      <c r="C62" s="163" t="s">
        <v>260</v>
      </c>
      <c r="D62" s="73"/>
      <c r="E62" s="73"/>
      <c r="F62" s="73"/>
      <c r="G62" s="73"/>
      <c r="H62" s="73"/>
    </row>
    <row r="63" spans="2:8" ht="11.25" customHeight="1" x14ac:dyDescent="0.2">
      <c r="B63" s="292"/>
      <c r="C63" s="163" t="s">
        <v>281</v>
      </c>
      <c r="D63" s="73"/>
      <c r="E63" s="73"/>
      <c r="F63" s="73"/>
      <c r="G63" s="73"/>
      <c r="H63" s="73"/>
    </row>
    <row r="64" spans="2:8" ht="11.25" customHeight="1" x14ac:dyDescent="0.2">
      <c r="B64" s="292"/>
      <c r="C64" s="163" t="s">
        <v>262</v>
      </c>
      <c r="D64" s="73"/>
      <c r="E64" s="73"/>
      <c r="F64" s="73"/>
      <c r="G64" s="73"/>
      <c r="H64" s="73"/>
    </row>
    <row r="65" spans="2:8" ht="11.25" customHeight="1" x14ac:dyDescent="0.2">
      <c r="B65" s="291"/>
      <c r="C65" s="91" t="s">
        <v>282</v>
      </c>
      <c r="D65" s="132">
        <f>SUM(D61:D64)</f>
        <v>0</v>
      </c>
      <c r="E65" s="132">
        <f>SUM(E61:E64)</f>
        <v>0</v>
      </c>
      <c r="F65" s="132">
        <f>SUM(F61:F64)</f>
        <v>0</v>
      </c>
      <c r="G65" s="132">
        <f>SUM(G61:G64)</f>
        <v>0</v>
      </c>
      <c r="H65" s="132">
        <f>SUM(H61:H64)</f>
        <v>0</v>
      </c>
    </row>
    <row r="66" spans="2:8" x14ac:dyDescent="0.2">
      <c r="B66" s="291"/>
      <c r="C66" s="57" t="s">
        <v>283</v>
      </c>
      <c r="D66" s="220"/>
      <c r="E66" s="220"/>
      <c r="F66" s="220"/>
      <c r="G66" s="220"/>
      <c r="H66" s="220"/>
    </row>
    <row r="67" spans="2:8" x14ac:dyDescent="0.2">
      <c r="B67" s="292"/>
      <c r="C67" s="163" t="s">
        <v>253</v>
      </c>
      <c r="D67" s="73"/>
      <c r="E67" s="132">
        <f>D71</f>
        <v>0</v>
      </c>
      <c r="F67" s="132">
        <f>E71</f>
        <v>0</v>
      </c>
      <c r="G67" s="132">
        <f>F71</f>
        <v>0</v>
      </c>
      <c r="H67" s="132">
        <f>G71</f>
        <v>0</v>
      </c>
    </row>
    <row r="68" spans="2:8" x14ac:dyDescent="0.2">
      <c r="B68" s="292"/>
      <c r="C68" s="163" t="s">
        <v>260</v>
      </c>
      <c r="D68" s="73"/>
      <c r="E68" s="73"/>
      <c r="F68" s="73"/>
      <c r="G68" s="73"/>
      <c r="H68" s="73"/>
    </row>
    <row r="69" spans="2:8" x14ac:dyDescent="0.2">
      <c r="B69" s="292"/>
      <c r="C69" s="163" t="s">
        <v>284</v>
      </c>
      <c r="D69" s="73"/>
      <c r="E69" s="73"/>
      <c r="F69" s="73"/>
      <c r="G69" s="73"/>
      <c r="H69" s="73"/>
    </row>
    <row r="70" spans="2:8" x14ac:dyDescent="0.2">
      <c r="B70" s="292"/>
      <c r="C70" s="163" t="s">
        <v>262</v>
      </c>
      <c r="D70" s="73"/>
      <c r="E70" s="73"/>
      <c r="F70" s="73"/>
      <c r="G70" s="73"/>
      <c r="H70" s="73"/>
    </row>
    <row r="71" spans="2:8" x14ac:dyDescent="0.2">
      <c r="B71" s="291"/>
      <c r="C71" s="91" t="s">
        <v>285</v>
      </c>
      <c r="D71" s="132">
        <f>SUM(D67:D70)</f>
        <v>0</v>
      </c>
      <c r="E71" s="132">
        <f>SUM(E67:E70)</f>
        <v>0</v>
      </c>
      <c r="F71" s="132">
        <f>SUM(F67:F70)</f>
        <v>0</v>
      </c>
      <c r="G71" s="132">
        <f>SUM(G67:G70)</f>
        <v>0</v>
      </c>
      <c r="H71" s="132">
        <f>SUM(H67:H70)</f>
        <v>0</v>
      </c>
    </row>
    <row r="72" spans="2:8" x14ac:dyDescent="0.2">
      <c r="B72" s="291"/>
      <c r="C72" s="57" t="s">
        <v>286</v>
      </c>
      <c r="D72" s="220"/>
      <c r="E72" s="220"/>
      <c r="F72" s="220"/>
      <c r="G72" s="220"/>
      <c r="H72" s="220"/>
    </row>
    <row r="73" spans="2:8" ht="11.25" customHeight="1" x14ac:dyDescent="0.2">
      <c r="B73" s="292"/>
      <c r="C73" s="163" t="s">
        <v>253</v>
      </c>
      <c r="D73" s="73"/>
      <c r="E73" s="132">
        <f>D77</f>
        <v>0</v>
      </c>
      <c r="F73" s="132">
        <f>E77</f>
        <v>0</v>
      </c>
      <c r="G73" s="132">
        <f>F77</f>
        <v>0</v>
      </c>
      <c r="H73" s="132">
        <f>G77</f>
        <v>0</v>
      </c>
    </row>
    <row r="74" spans="2:8" x14ac:dyDescent="0.2">
      <c r="B74" s="292"/>
      <c r="C74" s="163" t="s">
        <v>260</v>
      </c>
      <c r="D74" s="73"/>
      <c r="E74" s="73"/>
      <c r="F74" s="73"/>
      <c r="G74" s="73"/>
      <c r="H74" s="73"/>
    </row>
    <row r="75" spans="2:8" x14ac:dyDescent="0.2">
      <c r="B75" s="292"/>
      <c r="C75" s="163" t="s">
        <v>284</v>
      </c>
      <c r="D75" s="73"/>
      <c r="E75" s="73"/>
      <c r="F75" s="73"/>
      <c r="G75" s="73"/>
      <c r="H75" s="73"/>
    </row>
    <row r="76" spans="2:8" x14ac:dyDescent="0.2">
      <c r="B76" s="292"/>
      <c r="C76" s="163" t="s">
        <v>262</v>
      </c>
      <c r="D76" s="73"/>
      <c r="E76" s="73"/>
      <c r="F76" s="73"/>
      <c r="G76" s="73"/>
      <c r="H76" s="73"/>
    </row>
    <row r="77" spans="2:8" x14ac:dyDescent="0.2">
      <c r="B77" s="291"/>
      <c r="C77" s="91" t="s">
        <v>287</v>
      </c>
      <c r="D77" s="132">
        <f>SUM(D73:D76)</f>
        <v>0</v>
      </c>
      <c r="E77" s="132">
        <f>SUM(E73:E76)</f>
        <v>0</v>
      </c>
      <c r="F77" s="132">
        <f>SUM(F73:F76)</f>
        <v>0</v>
      </c>
      <c r="G77" s="132">
        <f>SUM(G73:G76)</f>
        <v>0</v>
      </c>
      <c r="H77" s="132">
        <f>SUM(H73:H76)</f>
        <v>0</v>
      </c>
    </row>
    <row r="78" spans="2:8" x14ac:dyDescent="0.2">
      <c r="B78" s="291"/>
      <c r="C78" s="91" t="s">
        <v>288</v>
      </c>
      <c r="D78" s="132">
        <f>SUM(D23,D29,D35,D41,D47,D53,D59,D65,D71,D77)</f>
        <v>0</v>
      </c>
      <c r="E78" s="132">
        <f>SUM(E23,E29,E35,E41,E47,E53,E59,E65,E71,E77)</f>
        <v>0</v>
      </c>
      <c r="F78" s="132">
        <f>SUM(F23,F29,F35,F41,F47,F53,F59,F65,F71,F77)</f>
        <v>0</v>
      </c>
      <c r="G78" s="132">
        <f>SUM(G23,G29,G35,G41,G47,G53,G59,G65,G71,G77)</f>
        <v>0</v>
      </c>
      <c r="H78" s="132">
        <f>SUM(H23,H29,H35,H41,H47,H53,H59,H65,H71,H77)</f>
        <v>0</v>
      </c>
    </row>
    <row r="79" spans="2:8" x14ac:dyDescent="0.2">
      <c r="B79" s="291"/>
      <c r="C79" s="57" t="s">
        <v>289</v>
      </c>
      <c r="D79" s="220"/>
      <c r="E79" s="220"/>
      <c r="F79" s="220"/>
      <c r="G79" s="220"/>
      <c r="H79" s="220"/>
    </row>
    <row r="80" spans="2:8" ht="11.25" customHeight="1" x14ac:dyDescent="0.2">
      <c r="B80" s="292"/>
      <c r="C80" s="163" t="s">
        <v>253</v>
      </c>
      <c r="D80" s="73"/>
      <c r="E80" s="132">
        <f>D84</f>
        <v>0</v>
      </c>
      <c r="F80" s="132">
        <f>E84</f>
        <v>0</v>
      </c>
      <c r="G80" s="132">
        <f>F84</f>
        <v>0</v>
      </c>
      <c r="H80" s="132">
        <f>G84</f>
        <v>0</v>
      </c>
    </row>
    <row r="81" spans="2:8" x14ac:dyDescent="0.2">
      <c r="B81" s="292"/>
      <c r="C81" s="163" t="s">
        <v>260</v>
      </c>
      <c r="D81" s="73"/>
      <c r="E81" s="73"/>
      <c r="F81" s="73"/>
      <c r="G81" s="73"/>
      <c r="H81" s="73"/>
    </row>
    <row r="82" spans="2:8" x14ac:dyDescent="0.2">
      <c r="B82" s="292"/>
      <c r="C82" s="163" t="s">
        <v>290</v>
      </c>
      <c r="D82" s="73"/>
      <c r="E82" s="73"/>
      <c r="F82" s="73"/>
      <c r="G82" s="73"/>
      <c r="H82" s="73"/>
    </row>
    <row r="83" spans="2:8" s="268" customFormat="1" x14ac:dyDescent="0.2">
      <c r="B83" s="292"/>
      <c r="C83" s="163" t="s">
        <v>291</v>
      </c>
      <c r="D83" s="73"/>
      <c r="E83" s="73"/>
      <c r="F83" s="73"/>
      <c r="G83" s="73"/>
      <c r="H83" s="73"/>
    </row>
    <row r="84" spans="2:8" s="268" customFormat="1" x14ac:dyDescent="0.2">
      <c r="B84" s="291"/>
      <c r="C84" s="91" t="s">
        <v>292</v>
      </c>
      <c r="D84" s="132">
        <f>SUM(D80:D83)</f>
        <v>0</v>
      </c>
      <c r="E84" s="132">
        <f>SUM(E80:E83)</f>
        <v>0</v>
      </c>
      <c r="F84" s="132">
        <f>SUM(F80:F83)</f>
        <v>0</v>
      </c>
      <c r="G84" s="132">
        <f>SUM(G80:G83)</f>
        <v>0</v>
      </c>
      <c r="H84" s="132">
        <f>SUM(H80:H83)</f>
        <v>0</v>
      </c>
    </row>
    <row r="85" spans="2:8" s="268" customFormat="1" x14ac:dyDescent="0.2">
      <c r="B85" s="291"/>
      <c r="C85" s="57" t="s">
        <v>293</v>
      </c>
      <c r="D85" s="220"/>
      <c r="E85" s="220"/>
      <c r="F85" s="220"/>
      <c r="G85" s="220"/>
      <c r="H85" s="220"/>
    </row>
    <row r="86" spans="2:8" s="268" customFormat="1" x14ac:dyDescent="0.2">
      <c r="B86" s="292"/>
      <c r="C86" s="163" t="s">
        <v>253</v>
      </c>
      <c r="D86" s="73"/>
      <c r="E86" s="132">
        <f>D90</f>
        <v>0</v>
      </c>
      <c r="F86" s="132">
        <f>E90</f>
        <v>0</v>
      </c>
      <c r="G86" s="132">
        <f>F90</f>
        <v>0</v>
      </c>
      <c r="H86" s="132">
        <f>G90</f>
        <v>0</v>
      </c>
    </row>
    <row r="87" spans="2:8" s="268" customFormat="1" x14ac:dyDescent="0.2">
      <c r="B87" s="292"/>
      <c r="C87" s="163" t="s">
        <v>260</v>
      </c>
      <c r="D87" s="73"/>
      <c r="E87" s="73"/>
      <c r="F87" s="73"/>
      <c r="G87" s="73"/>
      <c r="H87" s="73"/>
    </row>
    <row r="88" spans="2:8" s="268" customFormat="1" x14ac:dyDescent="0.2">
      <c r="B88" s="292"/>
      <c r="C88" s="163" t="s">
        <v>284</v>
      </c>
      <c r="D88" s="73"/>
      <c r="E88" s="73"/>
      <c r="F88" s="73"/>
      <c r="G88" s="73"/>
      <c r="H88" s="73"/>
    </row>
    <row r="89" spans="2:8" x14ac:dyDescent="0.2">
      <c r="B89" s="292"/>
      <c r="C89" s="163" t="s">
        <v>262</v>
      </c>
      <c r="D89" s="73"/>
      <c r="E89" s="73"/>
      <c r="F89" s="73"/>
      <c r="G89" s="73"/>
      <c r="H89" s="73"/>
    </row>
    <row r="90" spans="2:8" x14ac:dyDescent="0.2">
      <c r="B90" s="291"/>
      <c r="C90" s="91" t="s">
        <v>294</v>
      </c>
      <c r="D90" s="132">
        <f>SUM(D86:D89)</f>
        <v>0</v>
      </c>
      <c r="E90" s="132">
        <f>SUM(E86:E89)</f>
        <v>0</v>
      </c>
      <c r="F90" s="132">
        <f>SUM(F86:F89)</f>
        <v>0</v>
      </c>
      <c r="G90" s="132">
        <f>SUM(G86:G89)</f>
        <v>0</v>
      </c>
      <c r="H90" s="132">
        <f>SUM(H86:H89)</f>
        <v>0</v>
      </c>
    </row>
    <row r="91" spans="2:8" x14ac:dyDescent="0.2">
      <c r="B91" s="292"/>
      <c r="C91" s="163" t="s">
        <v>295</v>
      </c>
      <c r="D91" s="73"/>
      <c r="E91" s="132">
        <f>D93</f>
        <v>0</v>
      </c>
      <c r="F91" s="132">
        <f>E93</f>
        <v>0</v>
      </c>
      <c r="G91" s="132">
        <f>F93</f>
        <v>0</v>
      </c>
      <c r="H91" s="132">
        <f>G93</f>
        <v>0</v>
      </c>
    </row>
    <row r="92" spans="2:8" x14ac:dyDescent="0.2">
      <c r="B92" s="292"/>
      <c r="C92" s="163" t="s">
        <v>296</v>
      </c>
      <c r="D92" s="73"/>
      <c r="E92" s="73"/>
      <c r="F92" s="73"/>
      <c r="G92" s="73"/>
      <c r="H92" s="73"/>
    </row>
    <row r="93" spans="2:8" x14ac:dyDescent="0.2">
      <c r="B93" s="291"/>
      <c r="C93" s="91" t="s">
        <v>297</v>
      </c>
      <c r="D93" s="132">
        <f>SUM(D91:D92)</f>
        <v>0</v>
      </c>
      <c r="E93" s="132">
        <f>SUM(E91:E92)</f>
        <v>0</v>
      </c>
      <c r="F93" s="132">
        <f>SUM(F91:F92)</f>
        <v>0</v>
      </c>
      <c r="G93" s="132">
        <f>SUM(G91:G92)</f>
        <v>0</v>
      </c>
      <c r="H93" s="132">
        <f>SUM(H91:H92)</f>
        <v>0</v>
      </c>
    </row>
    <row r="94" spans="2:8" x14ac:dyDescent="0.2">
      <c r="B94" s="291"/>
      <c r="C94" s="91" t="s">
        <v>298</v>
      </c>
      <c r="D94" s="132">
        <f>SUM(D84,D90,D93)</f>
        <v>0</v>
      </c>
      <c r="E94" s="132">
        <f>SUM(E84,E90,E93)</f>
        <v>0</v>
      </c>
      <c r="F94" s="132">
        <f>SUM(F84,F90,F93)</f>
        <v>0</v>
      </c>
      <c r="G94" s="132">
        <f>SUM(G84,G90,G93)</f>
        <v>0</v>
      </c>
      <c r="H94" s="132">
        <f>SUM(H84,H90,H93)</f>
        <v>0</v>
      </c>
    </row>
    <row r="95" spans="2:8" x14ac:dyDescent="0.2">
      <c r="B95" s="291"/>
      <c r="C95" s="91" t="s">
        <v>299</v>
      </c>
      <c r="D95" s="132">
        <f>D78+D94</f>
        <v>0</v>
      </c>
      <c r="E95" s="132">
        <f>E78+E94</f>
        <v>0</v>
      </c>
      <c r="F95" s="132">
        <f>F78+F94</f>
        <v>0</v>
      </c>
      <c r="G95" s="132">
        <f>G78+G94</f>
        <v>0</v>
      </c>
      <c r="H95" s="132">
        <f>H78+H94</f>
        <v>0</v>
      </c>
    </row>
    <row r="119" spans="3:3" x14ac:dyDescent="0.2">
      <c r="C119" s="270"/>
    </row>
  </sheetData>
  <sheetProtection algorithmName="SHA-512" hashValue="s+iMvjMDt/4ES8+CkalUbaTXcLIoCRXZ3t2CkhRkwovP/QNbI1fSgpKnyFEtpnMsXSBOyolbeXKonuRXUFwA0w==" saltValue="9xuihCTOFjbPwdgsLd3zqg==" spinCount="100000" sheet="1" objects="1" scenarios="1"/>
  <mergeCells count="3">
    <mergeCell ref="B12:C12"/>
    <mergeCell ref="D14:H14"/>
    <mergeCell ref="B7:D9"/>
  </mergeCells>
  <pageMargins left="0.75" right="0.75" top="1" bottom="1" header="0.5" footer="0.5"/>
  <pageSetup paperSize="9" scale="36" orientation="landscape" verticalDpi="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17415D"/>
    <pageSetUpPr fitToPage="1"/>
  </sheetPr>
  <dimension ref="B1:G40"/>
  <sheetViews>
    <sheetView workbookViewId="0">
      <pane xSplit="1" ySplit="4" topLeftCell="B5" activePane="bottomRight" state="frozen"/>
      <selection activeCell="A35" sqref="A35"/>
      <selection pane="topRight" activeCell="A35" sqref="A35"/>
      <selection pane="bottomLeft" activeCell="A35" sqref="A35"/>
      <selection pane="bottomRight" activeCell="B5" sqref="B5"/>
    </sheetView>
  </sheetViews>
  <sheetFormatPr defaultColWidth="9.140625" defaultRowHeight="12.75" x14ac:dyDescent="0.2"/>
  <cols>
    <col min="1" max="1" width="12.140625" style="205" customWidth="1"/>
    <col min="2" max="2" width="21" style="205" customWidth="1"/>
    <col min="3" max="5" width="42.140625" style="205" customWidth="1"/>
    <col min="6" max="6" width="53.85546875" style="205" customWidth="1"/>
    <col min="7" max="7" width="9.42578125" style="205" customWidth="1"/>
    <col min="8" max="8" width="25.140625" style="205" customWidth="1"/>
    <col min="9" max="16384" width="9.140625" style="205"/>
  </cols>
  <sheetData>
    <row r="1" spans="2:6" ht="20.25" customHeight="1" x14ac:dyDescent="0.2">
      <c r="B1" s="136" t="s">
        <v>53</v>
      </c>
      <c r="C1" s="136"/>
    </row>
    <row r="2" spans="2:6" ht="20.25" x14ac:dyDescent="0.2">
      <c r="B2" s="136" t="str">
        <f>IF(Tradingname=0," ",Tradingname)</f>
        <v>SEA Gas Partnership</v>
      </c>
      <c r="C2" s="136"/>
    </row>
    <row r="3" spans="2:6" ht="20.25" x14ac:dyDescent="0.3">
      <c r="B3" s="136" t="s">
        <v>30</v>
      </c>
      <c r="C3" s="105">
        <f>IF(Yearending=0, "01/01/2000", Yearending)</f>
        <v>45838</v>
      </c>
    </row>
    <row r="4" spans="2:6" ht="20.25" x14ac:dyDescent="0.2">
      <c r="B4" s="97" t="s">
        <v>300</v>
      </c>
      <c r="C4" s="97"/>
    </row>
    <row r="7" spans="2:6" ht="15.75" x14ac:dyDescent="0.25">
      <c r="B7" s="207" t="s">
        <v>301</v>
      </c>
      <c r="C7" s="208"/>
      <c r="D7" s="208"/>
      <c r="E7" s="208"/>
    </row>
    <row r="8" spans="2:6" ht="15.75" x14ac:dyDescent="0.25">
      <c r="B8" s="207"/>
      <c r="C8" s="208"/>
      <c r="D8" s="208"/>
      <c r="E8" s="208"/>
    </row>
    <row r="9" spans="2:6" ht="25.5" x14ac:dyDescent="0.2">
      <c r="B9" s="46" t="s">
        <v>112</v>
      </c>
      <c r="C9" s="46" t="s">
        <v>302</v>
      </c>
      <c r="D9" s="46" t="s">
        <v>303</v>
      </c>
      <c r="E9" s="46" t="s">
        <v>304</v>
      </c>
      <c r="F9" s="58" t="s">
        <v>305</v>
      </c>
    </row>
    <row r="10" spans="2:6" x14ac:dyDescent="0.2">
      <c r="B10" s="48"/>
      <c r="C10" s="48"/>
      <c r="D10" s="51"/>
      <c r="E10" s="271" t="s">
        <v>306</v>
      </c>
      <c r="F10" s="272"/>
    </row>
    <row r="11" spans="2:6" x14ac:dyDescent="0.2">
      <c r="B11" s="309" t="s">
        <v>763</v>
      </c>
      <c r="C11" s="325" t="str">
        <f>'3.1 Depreciated Book Value'!C17</f>
        <v xml:space="preserve">Pipelines </v>
      </c>
      <c r="D11" s="81" t="s">
        <v>709</v>
      </c>
      <c r="E11" s="326">
        <v>50</v>
      </c>
      <c r="F11" s="284" t="s">
        <v>748</v>
      </c>
    </row>
    <row r="12" spans="2:6" x14ac:dyDescent="0.2">
      <c r="B12" s="309" t="s">
        <v>763</v>
      </c>
      <c r="C12" s="325" t="str">
        <f>'3.1 Depreciated Book Value'!C26</f>
        <v xml:space="preserve">Compressors </v>
      </c>
      <c r="D12" s="81" t="s">
        <v>710</v>
      </c>
      <c r="E12" s="326">
        <v>30</v>
      </c>
      <c r="F12" s="284" t="s">
        <v>741</v>
      </c>
    </row>
    <row r="13" spans="2:6" x14ac:dyDescent="0.2">
      <c r="B13" s="309" t="s">
        <v>763</v>
      </c>
      <c r="C13" s="325" t="str">
        <f>'3.1 Depreciated Book Value'!C34</f>
        <v xml:space="preserve">City Gates, supply regulators and valve stations </v>
      </c>
      <c r="D13" s="81" t="s">
        <v>709</v>
      </c>
      <c r="E13" s="326">
        <v>40</v>
      </c>
      <c r="F13" s="284" t="s">
        <v>742</v>
      </c>
    </row>
    <row r="14" spans="2:6" x14ac:dyDescent="0.2">
      <c r="B14" s="309" t="s">
        <v>763</v>
      </c>
      <c r="C14" s="325" t="str">
        <f>'3.1 Depreciated Book Value'!C42</f>
        <v xml:space="preserve">Metering </v>
      </c>
      <c r="D14" s="81" t="s">
        <v>709</v>
      </c>
      <c r="E14" s="326">
        <v>40</v>
      </c>
      <c r="F14" s="284" t="s">
        <v>742</v>
      </c>
    </row>
    <row r="15" spans="2:6" x14ac:dyDescent="0.2">
      <c r="B15" s="309" t="s">
        <v>763</v>
      </c>
      <c r="C15" s="325" t="str">
        <f>'3.1 Depreciated Book Value'!C50</f>
        <v xml:space="preserve">Odorant plants </v>
      </c>
      <c r="D15" s="81"/>
      <c r="E15" s="326"/>
      <c r="F15" s="284"/>
    </row>
    <row r="16" spans="2:6" x14ac:dyDescent="0.2">
      <c r="B16" s="309" t="s">
        <v>763</v>
      </c>
      <c r="C16" s="325" t="str">
        <f>'3.1 Depreciated Book Value'!C58</f>
        <v xml:space="preserve">SCADA (Communications) </v>
      </c>
      <c r="D16" s="81" t="s">
        <v>710</v>
      </c>
      <c r="E16" s="326">
        <v>15</v>
      </c>
      <c r="F16" s="284" t="s">
        <v>742</v>
      </c>
    </row>
    <row r="17" spans="2:7" x14ac:dyDescent="0.2">
      <c r="B17" s="309" t="s">
        <v>763</v>
      </c>
      <c r="C17" s="325" t="str">
        <f>'3.1 Depreciated Book Value'!C66</f>
        <v xml:space="preserve">Buildings </v>
      </c>
      <c r="D17" s="81" t="s">
        <v>710</v>
      </c>
      <c r="E17" s="326">
        <v>80</v>
      </c>
      <c r="F17" s="284" t="s">
        <v>741</v>
      </c>
    </row>
    <row r="18" spans="2:7" x14ac:dyDescent="0.2">
      <c r="B18" s="309" t="s">
        <v>29</v>
      </c>
      <c r="C18" s="325" t="str">
        <f>'3.1 Depreciated Book Value'!C81</f>
        <v>Other depreciable pipeline assets</v>
      </c>
      <c r="D18" s="81"/>
      <c r="E18" s="326"/>
      <c r="F18" s="284"/>
    </row>
    <row r="19" spans="2:7" x14ac:dyDescent="0.2">
      <c r="B19" s="309" t="s">
        <v>763</v>
      </c>
      <c r="C19" s="80" t="s">
        <v>711</v>
      </c>
      <c r="D19" s="81" t="s">
        <v>712</v>
      </c>
      <c r="E19" s="326">
        <v>10</v>
      </c>
      <c r="F19" s="284" t="s">
        <v>743</v>
      </c>
    </row>
    <row r="20" spans="2:7" x14ac:dyDescent="0.2">
      <c r="B20" s="309" t="s">
        <v>763</v>
      </c>
      <c r="C20" s="80" t="s">
        <v>713</v>
      </c>
      <c r="D20" s="81" t="s">
        <v>712</v>
      </c>
      <c r="E20" s="326">
        <v>10</v>
      </c>
      <c r="F20" s="284" t="s">
        <v>743</v>
      </c>
    </row>
    <row r="21" spans="2:7" x14ac:dyDescent="0.2">
      <c r="B21" s="309" t="s">
        <v>763</v>
      </c>
      <c r="C21" s="80" t="s">
        <v>714</v>
      </c>
      <c r="D21" s="81" t="s">
        <v>715</v>
      </c>
      <c r="E21" s="326">
        <v>50</v>
      </c>
      <c r="F21" s="284" t="s">
        <v>744</v>
      </c>
      <c r="G21" s="273"/>
    </row>
    <row r="22" spans="2:7" x14ac:dyDescent="0.2">
      <c r="B22" s="309" t="s">
        <v>763</v>
      </c>
      <c r="C22" s="80" t="s">
        <v>716</v>
      </c>
      <c r="D22" s="81" t="s">
        <v>717</v>
      </c>
      <c r="E22" s="326" t="s">
        <v>718</v>
      </c>
      <c r="F22" s="284" t="s">
        <v>745</v>
      </c>
      <c r="G22" s="273"/>
    </row>
    <row r="23" spans="2:7" x14ac:dyDescent="0.2">
      <c r="B23" s="309"/>
      <c r="C23" s="325" t="str">
        <f>'3.1 Depreciated Book Value'!C89</f>
        <v xml:space="preserve">Leased assets </v>
      </c>
      <c r="D23" s="81"/>
      <c r="E23" s="326"/>
      <c r="F23" s="284"/>
      <c r="G23" s="273"/>
    </row>
    <row r="24" spans="2:7" x14ac:dyDescent="0.2">
      <c r="B24" s="309"/>
      <c r="C24" s="80"/>
      <c r="D24" s="81"/>
      <c r="E24" s="326"/>
      <c r="F24" s="284"/>
      <c r="G24" s="273"/>
    </row>
    <row r="25" spans="2:7" x14ac:dyDescent="0.2">
      <c r="B25" s="309"/>
      <c r="C25" s="80"/>
      <c r="D25" s="81"/>
      <c r="E25" s="326"/>
      <c r="F25" s="284"/>
      <c r="G25" s="273"/>
    </row>
    <row r="26" spans="2:7" x14ac:dyDescent="0.2">
      <c r="B26" s="309"/>
      <c r="C26" s="80"/>
      <c r="D26" s="81"/>
      <c r="E26" s="326"/>
      <c r="F26" s="284"/>
    </row>
    <row r="27" spans="2:7" x14ac:dyDescent="0.2">
      <c r="B27" s="309"/>
      <c r="C27" s="80"/>
      <c r="D27" s="81"/>
      <c r="E27" s="326"/>
      <c r="F27" s="284"/>
    </row>
    <row r="28" spans="2:7" x14ac:dyDescent="0.2">
      <c r="B28" s="309"/>
      <c r="C28" s="325" t="str">
        <f>'3.1 Depreciated Book Value'!C105</f>
        <v>Shared property, plant and equipment</v>
      </c>
      <c r="D28" s="81"/>
      <c r="E28" s="326"/>
      <c r="F28" s="284"/>
    </row>
    <row r="29" spans="2:7" x14ac:dyDescent="0.2">
      <c r="B29" s="309" t="s">
        <v>763</v>
      </c>
      <c r="C29" s="80" t="s">
        <v>719</v>
      </c>
      <c r="D29" s="81" t="s">
        <v>720</v>
      </c>
      <c r="E29" s="326">
        <v>10</v>
      </c>
      <c r="F29" s="284" t="s">
        <v>746</v>
      </c>
    </row>
    <row r="30" spans="2:7" x14ac:dyDescent="0.2">
      <c r="B30" s="309" t="s">
        <v>763</v>
      </c>
      <c r="C30" s="80" t="s">
        <v>721</v>
      </c>
      <c r="D30" s="81" t="s">
        <v>720</v>
      </c>
      <c r="E30" s="326">
        <v>10</v>
      </c>
      <c r="F30" s="284" t="s">
        <v>746</v>
      </c>
    </row>
    <row r="31" spans="2:7" x14ac:dyDescent="0.2">
      <c r="B31" s="309" t="s">
        <v>763</v>
      </c>
      <c r="C31" s="80" t="s">
        <v>722</v>
      </c>
      <c r="D31" s="81" t="s">
        <v>720</v>
      </c>
      <c r="E31" s="326">
        <v>10</v>
      </c>
      <c r="F31" s="284" t="s">
        <v>746</v>
      </c>
    </row>
    <row r="32" spans="2:7" x14ac:dyDescent="0.2">
      <c r="B32" s="309" t="s">
        <v>763</v>
      </c>
      <c r="C32" s="80" t="s">
        <v>723</v>
      </c>
      <c r="D32" s="81" t="s">
        <v>720</v>
      </c>
      <c r="E32" s="326">
        <v>10</v>
      </c>
      <c r="F32" s="284" t="s">
        <v>746</v>
      </c>
      <c r="G32" s="273"/>
    </row>
    <row r="33" spans="2:7" x14ac:dyDescent="0.2">
      <c r="B33" s="309" t="s">
        <v>763</v>
      </c>
      <c r="C33" s="80" t="s">
        <v>724</v>
      </c>
      <c r="D33" s="81" t="s">
        <v>720</v>
      </c>
      <c r="E33" s="326">
        <v>10</v>
      </c>
      <c r="F33" s="284" t="s">
        <v>746</v>
      </c>
      <c r="G33" s="273"/>
    </row>
    <row r="34" spans="2:7" x14ac:dyDescent="0.2">
      <c r="B34" s="309" t="s">
        <v>763</v>
      </c>
      <c r="C34" s="80" t="s">
        <v>725</v>
      </c>
      <c r="D34" s="81" t="s">
        <v>720</v>
      </c>
      <c r="E34" s="326">
        <v>10</v>
      </c>
      <c r="F34" s="284" t="s">
        <v>746</v>
      </c>
      <c r="G34" s="273"/>
    </row>
    <row r="35" spans="2:7" x14ac:dyDescent="0.2">
      <c r="B35" s="309"/>
      <c r="C35" s="325" t="str">
        <f>'3.1 Depreciated Book Value'!C113</f>
        <v>Shared leased assets</v>
      </c>
      <c r="D35" s="81"/>
      <c r="E35" s="326"/>
      <c r="F35" s="284"/>
      <c r="G35" s="273"/>
    </row>
    <row r="36" spans="2:7" x14ac:dyDescent="0.2">
      <c r="B36" s="309" t="s">
        <v>763</v>
      </c>
      <c r="C36" s="80" t="s">
        <v>223</v>
      </c>
      <c r="D36" s="305" t="s">
        <v>726</v>
      </c>
      <c r="E36" s="326">
        <v>10</v>
      </c>
      <c r="F36" s="284" t="s">
        <v>747</v>
      </c>
      <c r="G36" s="273"/>
    </row>
    <row r="37" spans="2:7" x14ac:dyDescent="0.2">
      <c r="B37" s="309"/>
      <c r="C37" s="80"/>
      <c r="D37" s="81"/>
      <c r="E37" s="326"/>
      <c r="F37" s="284"/>
      <c r="G37" s="273"/>
    </row>
    <row r="38" spans="2:7" x14ac:dyDescent="0.2">
      <c r="B38" s="309"/>
      <c r="C38" s="80"/>
      <c r="D38" s="81"/>
      <c r="E38" s="326"/>
      <c r="F38" s="284"/>
      <c r="G38" s="273"/>
    </row>
    <row r="39" spans="2:7" x14ac:dyDescent="0.2">
      <c r="B39" s="309"/>
      <c r="C39" s="80"/>
      <c r="D39" s="81"/>
      <c r="E39" s="326"/>
      <c r="F39" s="284"/>
    </row>
    <row r="40" spans="2:7" x14ac:dyDescent="0.2">
      <c r="B40" s="309"/>
      <c r="C40" s="80"/>
      <c r="D40" s="81"/>
      <c r="E40" s="326"/>
      <c r="F40" s="327"/>
    </row>
  </sheetData>
  <sheetProtection algorithmName="SHA-512" hashValue="aGhrKbTnnSym4wSIRJ0Wc7+ISA+6u4nevRrjFntfdVTlnhRsvmlyJO4PaVb8RFGooafUzhUPb4I2xZY+Ucpa9A==" saltValue="x/t5UhdPWFbbsUIVf7yAvA==" spinCount="100000" sheet="1" objects="1" scenarios="1"/>
  <pageMargins left="0.75" right="0.75" top="1" bottom="1" header="0.5" footer="0.5"/>
  <pageSetup paperSize="9" scale="5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17415D"/>
  </sheetPr>
  <dimension ref="B1:J56"/>
  <sheetViews>
    <sheetView workbookViewId="0">
      <pane xSplit="1" ySplit="4" topLeftCell="B5" activePane="bottomRight" state="frozen"/>
      <selection activeCell="A35" sqref="A35"/>
      <selection pane="topRight" activeCell="A35" sqref="A35"/>
      <selection pane="bottomLeft" activeCell="A35" sqref="A35"/>
      <selection pane="bottomRight" activeCell="B5" sqref="B5"/>
    </sheetView>
  </sheetViews>
  <sheetFormatPr defaultColWidth="9.140625" defaultRowHeight="12.75" x14ac:dyDescent="0.2"/>
  <cols>
    <col min="1" max="1" width="12" style="4" customWidth="1"/>
    <col min="2" max="2" width="31.85546875" style="4" customWidth="1"/>
    <col min="3" max="3" width="41.85546875" style="4" bestFit="1" customWidth="1"/>
    <col min="4" max="4" width="27.140625" style="4" customWidth="1"/>
    <col min="5" max="5" width="32.85546875" style="4" customWidth="1"/>
    <col min="6" max="6" width="21.85546875" style="4" customWidth="1"/>
    <col min="7" max="7" width="24.42578125" style="4" customWidth="1"/>
    <col min="8" max="8" width="45" style="4" customWidth="1"/>
    <col min="9" max="10" width="19.85546875" style="4" customWidth="1"/>
    <col min="11" max="11" width="18.140625" style="4" customWidth="1"/>
    <col min="12" max="16384" width="9.140625" style="4"/>
  </cols>
  <sheetData>
    <row r="1" spans="2:10" ht="20.25" x14ac:dyDescent="0.3">
      <c r="B1" s="136" t="s">
        <v>53</v>
      </c>
      <c r="C1" s="136"/>
      <c r="D1" s="204"/>
      <c r="E1" s="204"/>
      <c r="F1" s="204"/>
      <c r="G1" s="204"/>
      <c r="H1" s="204"/>
      <c r="I1" s="204"/>
      <c r="J1" s="204"/>
    </row>
    <row r="2" spans="2:10" ht="20.25" x14ac:dyDescent="0.2">
      <c r="B2" s="136" t="str">
        <f>IF(Tradingname=0," ",Tradingname)</f>
        <v>SEA Gas Partnership</v>
      </c>
      <c r="C2" s="136"/>
    </row>
    <row r="3" spans="2:10" ht="18" customHeight="1" x14ac:dyDescent="0.45">
      <c r="B3" s="136" t="s">
        <v>30</v>
      </c>
      <c r="C3" s="105">
        <f>IF(Yearending=0, "01/01/2000", Yearending)</f>
        <v>45838</v>
      </c>
      <c r="F3" s="243"/>
    </row>
    <row r="4" spans="2:10" ht="20.25" x14ac:dyDescent="0.2">
      <c r="B4" s="97" t="s">
        <v>307</v>
      </c>
      <c r="C4" s="97"/>
    </row>
    <row r="6" spans="2:10" ht="15.75" x14ac:dyDescent="0.25">
      <c r="B6" s="214"/>
    </row>
    <row r="7" spans="2:10" ht="15.75" x14ac:dyDescent="0.25">
      <c r="B7" s="214" t="s">
        <v>308</v>
      </c>
    </row>
    <row r="8" spans="2:10" x14ac:dyDescent="0.2">
      <c r="B8" s="215"/>
      <c r="C8" s="216"/>
      <c r="D8" s="216"/>
      <c r="E8" s="216"/>
      <c r="F8" s="216"/>
      <c r="G8" s="245"/>
      <c r="H8" s="246"/>
      <c r="I8" s="247"/>
      <c r="J8" s="247"/>
    </row>
    <row r="9" spans="2:10" ht="31.7" customHeight="1" x14ac:dyDescent="0.2">
      <c r="B9" s="40" t="s">
        <v>309</v>
      </c>
      <c r="C9" s="60" t="s">
        <v>310</v>
      </c>
      <c r="D9" s="40" t="s">
        <v>311</v>
      </c>
      <c r="E9" s="40" t="s">
        <v>312</v>
      </c>
      <c r="F9" s="40" t="s">
        <v>313</v>
      </c>
    </row>
    <row r="10" spans="2:10" ht="13.7" customHeight="1" x14ac:dyDescent="0.2">
      <c r="B10" s="74"/>
      <c r="C10" s="83"/>
      <c r="D10" s="75"/>
      <c r="E10" s="82"/>
      <c r="F10" s="76"/>
    </row>
    <row r="11" spans="2:10" ht="13.7" customHeight="1" x14ac:dyDescent="0.2">
      <c r="B11" s="74"/>
      <c r="C11" s="83"/>
      <c r="D11" s="75"/>
      <c r="E11" s="82"/>
      <c r="F11" s="76"/>
    </row>
    <row r="12" spans="2:10" ht="13.7" customHeight="1" x14ac:dyDescent="0.2">
      <c r="B12" s="74"/>
      <c r="C12" s="83"/>
      <c r="D12" s="75"/>
      <c r="E12" s="82"/>
      <c r="F12" s="76"/>
    </row>
    <row r="13" spans="2:10" ht="13.7" customHeight="1" x14ac:dyDescent="0.2">
      <c r="B13" s="74"/>
      <c r="C13" s="83"/>
      <c r="D13" s="75"/>
      <c r="E13" s="82"/>
      <c r="F13" s="76"/>
    </row>
    <row r="14" spans="2:10" ht="13.7" customHeight="1" x14ac:dyDescent="0.2">
      <c r="B14" s="74"/>
      <c r="C14" s="83"/>
      <c r="D14" s="75"/>
      <c r="E14" s="82"/>
      <c r="F14" s="76"/>
    </row>
    <row r="15" spans="2:10" ht="13.7" customHeight="1" x14ac:dyDescent="0.2">
      <c r="B15" s="74"/>
      <c r="C15" s="83"/>
      <c r="D15" s="75"/>
      <c r="E15" s="82"/>
      <c r="F15" s="76"/>
    </row>
    <row r="16" spans="2:10" ht="13.7" customHeight="1" x14ac:dyDescent="0.2">
      <c r="B16" s="74"/>
      <c r="C16" s="83"/>
      <c r="D16" s="75"/>
      <c r="E16" s="82"/>
      <c r="F16" s="76"/>
    </row>
    <row r="17" spans="2:9" ht="13.7" customHeight="1" x14ac:dyDescent="0.2">
      <c r="B17" s="74"/>
      <c r="C17" s="83"/>
      <c r="D17" s="75"/>
      <c r="E17" s="82"/>
      <c r="F17" s="76"/>
    </row>
    <row r="18" spans="2:9" ht="13.7" customHeight="1" x14ac:dyDescent="0.2">
      <c r="B18" s="74"/>
      <c r="C18" s="83"/>
      <c r="D18" s="75"/>
      <c r="E18" s="82"/>
      <c r="F18" s="76"/>
    </row>
    <row r="19" spans="2:9" ht="13.7" customHeight="1" x14ac:dyDescent="0.2">
      <c r="B19" s="74"/>
      <c r="C19" s="83"/>
      <c r="D19" s="75"/>
      <c r="E19" s="82"/>
      <c r="F19" s="76"/>
    </row>
    <row r="20" spans="2:9" ht="13.7" customHeight="1" x14ac:dyDescent="0.2">
      <c r="B20" s="74"/>
      <c r="C20" s="83"/>
      <c r="D20" s="75"/>
      <c r="E20" s="82"/>
      <c r="F20" s="76"/>
    </row>
    <row r="21" spans="2:9" ht="13.7" customHeight="1" x14ac:dyDescent="0.2">
      <c r="B21" s="74"/>
      <c r="C21" s="83"/>
      <c r="D21" s="75"/>
      <c r="E21" s="82"/>
      <c r="F21" s="76"/>
    </row>
    <row r="22" spans="2:9" ht="13.7" customHeight="1" x14ac:dyDescent="0.2">
      <c r="B22" s="74"/>
      <c r="C22" s="83"/>
      <c r="D22" s="75"/>
      <c r="E22" s="82"/>
      <c r="F22" s="76"/>
    </row>
    <row r="23" spans="2:9" ht="13.7" customHeight="1" x14ac:dyDescent="0.2">
      <c r="B23" s="74"/>
      <c r="C23" s="83"/>
      <c r="D23" s="75"/>
      <c r="E23" s="82"/>
      <c r="F23" s="76"/>
    </row>
    <row r="24" spans="2:9" ht="13.7" customHeight="1" x14ac:dyDescent="0.2">
      <c r="B24" s="74"/>
      <c r="C24" s="83"/>
      <c r="D24" s="75"/>
      <c r="E24" s="82"/>
      <c r="F24" s="76"/>
    </row>
    <row r="27" spans="2:9" ht="15.75" x14ac:dyDescent="0.25">
      <c r="B27" s="214" t="s">
        <v>314</v>
      </c>
    </row>
    <row r="28" spans="2:9" x14ac:dyDescent="0.2">
      <c r="B28" s="215"/>
      <c r="C28" s="216"/>
      <c r="D28" s="216"/>
      <c r="E28" s="216"/>
    </row>
    <row r="29" spans="2:9" ht="36.950000000000003" customHeight="1" x14ac:dyDescent="0.2">
      <c r="B29" s="40" t="s">
        <v>309</v>
      </c>
      <c r="C29" s="60" t="s">
        <v>310</v>
      </c>
      <c r="D29" s="40" t="s">
        <v>315</v>
      </c>
      <c r="E29" s="40" t="s">
        <v>312</v>
      </c>
      <c r="F29" s="40" t="s">
        <v>313</v>
      </c>
      <c r="G29" s="40" t="s">
        <v>316</v>
      </c>
      <c r="H29" s="40" t="s">
        <v>317</v>
      </c>
      <c r="I29" s="40" t="s">
        <v>318</v>
      </c>
    </row>
    <row r="30" spans="2:9" x14ac:dyDescent="0.2">
      <c r="B30" s="74"/>
      <c r="C30" s="83"/>
      <c r="D30" s="75"/>
      <c r="E30" s="82"/>
      <c r="F30" s="76"/>
      <c r="G30" s="75"/>
      <c r="H30" s="82"/>
      <c r="I30" s="76"/>
    </row>
    <row r="31" spans="2:9" x14ac:dyDescent="0.2">
      <c r="B31" s="74"/>
      <c r="C31" s="83"/>
      <c r="D31" s="75"/>
      <c r="E31" s="82"/>
      <c r="F31" s="76"/>
      <c r="G31" s="75"/>
      <c r="H31" s="82"/>
      <c r="I31" s="76"/>
    </row>
    <row r="32" spans="2:9" x14ac:dyDescent="0.2">
      <c r="B32" s="74"/>
      <c r="C32" s="83"/>
      <c r="D32" s="75"/>
      <c r="E32" s="82"/>
      <c r="F32" s="76"/>
      <c r="G32" s="75"/>
      <c r="H32" s="82"/>
      <c r="I32" s="76"/>
    </row>
    <row r="33" spans="2:9" x14ac:dyDescent="0.2">
      <c r="B33" s="74"/>
      <c r="C33" s="83"/>
      <c r="D33" s="75"/>
      <c r="E33" s="82"/>
      <c r="F33" s="76"/>
      <c r="G33" s="75"/>
      <c r="H33" s="82"/>
      <c r="I33" s="76"/>
    </row>
    <row r="34" spans="2:9" x14ac:dyDescent="0.2">
      <c r="B34" s="74"/>
      <c r="C34" s="83"/>
      <c r="D34" s="75"/>
      <c r="E34" s="82"/>
      <c r="F34" s="76"/>
      <c r="G34" s="75"/>
      <c r="H34" s="82"/>
      <c r="I34" s="76"/>
    </row>
    <row r="35" spans="2:9" x14ac:dyDescent="0.2">
      <c r="B35" s="74"/>
      <c r="C35" s="83"/>
      <c r="D35" s="75"/>
      <c r="E35" s="82"/>
      <c r="F35" s="76"/>
      <c r="G35" s="75"/>
      <c r="H35" s="82"/>
      <c r="I35" s="76"/>
    </row>
    <row r="36" spans="2:9" x14ac:dyDescent="0.2">
      <c r="B36" s="74"/>
      <c r="C36" s="83"/>
      <c r="D36" s="75"/>
      <c r="E36" s="82"/>
      <c r="F36" s="76"/>
      <c r="G36" s="75"/>
      <c r="H36" s="82"/>
      <c r="I36" s="76"/>
    </row>
    <row r="37" spans="2:9" x14ac:dyDescent="0.2">
      <c r="B37" s="74"/>
      <c r="C37" s="83"/>
      <c r="D37" s="75"/>
      <c r="E37" s="82"/>
      <c r="F37" s="76"/>
      <c r="G37" s="75"/>
      <c r="H37" s="82"/>
      <c r="I37" s="76"/>
    </row>
    <row r="38" spans="2:9" x14ac:dyDescent="0.2">
      <c r="B38" s="74"/>
      <c r="C38" s="83"/>
      <c r="D38" s="75"/>
      <c r="E38" s="82"/>
      <c r="F38" s="76"/>
      <c r="G38" s="75"/>
      <c r="H38" s="82"/>
      <c r="I38" s="76"/>
    </row>
    <row r="39" spans="2:9" x14ac:dyDescent="0.2">
      <c r="B39" s="74"/>
      <c r="C39" s="83"/>
      <c r="D39" s="75"/>
      <c r="E39" s="82"/>
      <c r="F39" s="76"/>
      <c r="G39" s="75"/>
      <c r="H39" s="82"/>
      <c r="I39" s="76"/>
    </row>
    <row r="40" spans="2:9" x14ac:dyDescent="0.2">
      <c r="B40" s="74"/>
      <c r="C40" s="83"/>
      <c r="D40" s="75"/>
      <c r="E40" s="82"/>
      <c r="F40" s="76"/>
      <c r="G40" s="75"/>
      <c r="H40" s="82"/>
      <c r="I40" s="76"/>
    </row>
    <row r="41" spans="2:9" x14ac:dyDescent="0.2">
      <c r="B41" s="74"/>
      <c r="C41" s="83"/>
      <c r="D41" s="75"/>
      <c r="E41" s="82"/>
      <c r="F41" s="76"/>
      <c r="G41" s="75"/>
      <c r="H41" s="82"/>
      <c r="I41" s="76"/>
    </row>
    <row r="42" spans="2:9" x14ac:dyDescent="0.2">
      <c r="B42" s="74"/>
      <c r="C42" s="83"/>
      <c r="D42" s="75"/>
      <c r="E42" s="82"/>
      <c r="F42" s="76"/>
      <c r="G42" s="75"/>
      <c r="H42" s="82"/>
      <c r="I42" s="76"/>
    </row>
    <row r="43" spans="2:9" x14ac:dyDescent="0.2">
      <c r="B43" s="74"/>
      <c r="C43" s="83"/>
      <c r="D43" s="75"/>
      <c r="E43" s="82"/>
      <c r="F43" s="76"/>
      <c r="G43" s="75"/>
      <c r="H43" s="82"/>
      <c r="I43" s="76"/>
    </row>
    <row r="44" spans="2:9" x14ac:dyDescent="0.2">
      <c r="B44" s="74"/>
      <c r="C44" s="83"/>
      <c r="D44" s="75"/>
      <c r="E44" s="82"/>
      <c r="F44" s="76"/>
      <c r="G44" s="75"/>
      <c r="H44" s="82"/>
      <c r="I44" s="76"/>
    </row>
    <row r="45" spans="2:9" x14ac:dyDescent="0.2">
      <c r="B45" s="74"/>
      <c r="C45" s="83"/>
      <c r="D45" s="75"/>
      <c r="E45" s="82"/>
      <c r="F45" s="76"/>
      <c r="G45" s="75"/>
      <c r="H45" s="82"/>
      <c r="I45" s="76"/>
    </row>
    <row r="46" spans="2:9" x14ac:dyDescent="0.2">
      <c r="B46" s="74"/>
      <c r="C46" s="83"/>
      <c r="D46" s="75"/>
      <c r="E46" s="82"/>
      <c r="F46" s="76"/>
      <c r="G46" s="75"/>
      <c r="H46" s="82"/>
      <c r="I46" s="76"/>
    </row>
    <row r="47" spans="2:9" x14ac:dyDescent="0.2">
      <c r="B47" s="74"/>
      <c r="C47" s="83"/>
      <c r="D47" s="75"/>
      <c r="E47" s="82"/>
      <c r="F47" s="76"/>
      <c r="G47" s="75"/>
      <c r="H47" s="82"/>
      <c r="I47" s="76"/>
    </row>
    <row r="48" spans="2:9" x14ac:dyDescent="0.2">
      <c r="B48" s="74"/>
      <c r="C48" s="83"/>
      <c r="D48" s="75"/>
      <c r="E48" s="82"/>
      <c r="F48" s="76"/>
      <c r="G48" s="75"/>
      <c r="H48" s="82"/>
      <c r="I48" s="76"/>
    </row>
    <row r="49" spans="2:9" x14ac:dyDescent="0.2">
      <c r="B49" s="74"/>
      <c r="C49" s="83"/>
      <c r="D49" s="75"/>
      <c r="E49" s="82"/>
      <c r="F49" s="76"/>
      <c r="G49" s="75"/>
      <c r="H49" s="82"/>
      <c r="I49" s="76"/>
    </row>
    <row r="50" spans="2:9" x14ac:dyDescent="0.2">
      <c r="B50" s="74"/>
      <c r="C50" s="83"/>
      <c r="D50" s="75"/>
      <c r="E50" s="82"/>
      <c r="F50" s="76"/>
      <c r="G50" s="75"/>
      <c r="H50" s="82"/>
      <c r="I50" s="76"/>
    </row>
    <row r="51" spans="2:9" x14ac:dyDescent="0.2">
      <c r="B51" s="74"/>
      <c r="C51" s="83"/>
      <c r="D51" s="75"/>
      <c r="E51" s="82"/>
      <c r="F51" s="76"/>
      <c r="G51" s="75"/>
      <c r="H51" s="82"/>
      <c r="I51" s="76"/>
    </row>
    <row r="52" spans="2:9" x14ac:dyDescent="0.2">
      <c r="B52" s="74"/>
      <c r="C52" s="83"/>
      <c r="D52" s="75"/>
      <c r="E52" s="82"/>
      <c r="F52" s="76"/>
      <c r="G52" s="75"/>
      <c r="H52" s="82"/>
      <c r="I52" s="76"/>
    </row>
    <row r="53" spans="2:9" x14ac:dyDescent="0.2">
      <c r="B53" s="74"/>
      <c r="C53" s="83"/>
      <c r="D53" s="75"/>
      <c r="E53" s="82"/>
      <c r="F53" s="76"/>
      <c r="G53" s="75"/>
      <c r="H53" s="82"/>
      <c r="I53" s="76"/>
    </row>
    <row r="54" spans="2:9" x14ac:dyDescent="0.2">
      <c r="B54" s="74"/>
      <c r="C54" s="83"/>
      <c r="D54" s="75"/>
      <c r="E54" s="82"/>
      <c r="F54" s="76"/>
      <c r="G54" s="75"/>
      <c r="H54" s="82"/>
      <c r="I54" s="76"/>
    </row>
    <row r="55" spans="2:9" x14ac:dyDescent="0.2">
      <c r="B55" s="74"/>
      <c r="C55" s="83"/>
      <c r="D55" s="75"/>
      <c r="E55" s="82"/>
      <c r="F55" s="76"/>
      <c r="G55" s="75"/>
      <c r="H55" s="82"/>
      <c r="I55" s="76"/>
    </row>
    <row r="56" spans="2:9" x14ac:dyDescent="0.2">
      <c r="B56" s="74"/>
      <c r="C56" s="83"/>
      <c r="D56" s="75"/>
      <c r="E56" s="82"/>
      <c r="F56" s="76"/>
      <c r="G56" s="75"/>
      <c r="H56" s="82"/>
      <c r="I56" s="76"/>
    </row>
  </sheetData>
  <sheetProtection algorithmName="SHA-512" hashValue="RekPf+2hcHNH7QURCjgh3Y9es39abSpR84kPuOxKX9OSaRD5Pz93GnAoS9W7FUHgV4pjmB8ZrMoN8/wZEVfWaQ==" saltValue="1qvV6ypCSy/Na96AAyU/ew==" spinCount="100000" sheet="1" objects="1" scenarios="1"/>
  <dataValidations disablePrompts="1" count="1">
    <dataValidation type="list" allowBlank="1" showInputMessage="1" showErrorMessage="1" sqref="C10:C24 C30:C56" xr:uid="{00000000-0002-0000-0F00-000000000000}">
      <formula1>rAllAssets</formula1>
    </dataValidation>
  </dataValidations>
  <pageMargins left="0.25" right="0.25" top="0.75" bottom="0.75" header="0.3" footer="0.3"/>
  <pageSetup paperSize="9"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17415D"/>
    <pageSetUpPr fitToPage="1"/>
  </sheetPr>
  <dimension ref="B1:Q84"/>
  <sheetViews>
    <sheetView showGridLines="0" zoomScaleNormal="100" workbookViewId="0"/>
  </sheetViews>
  <sheetFormatPr defaultColWidth="8.85546875" defaultRowHeight="12.75" x14ac:dyDescent="0.2"/>
  <cols>
    <col min="1" max="1" width="11.42578125" customWidth="1"/>
    <col min="2" max="2" width="32.42578125" customWidth="1"/>
    <col min="3" max="3" width="40.85546875" customWidth="1"/>
    <col min="4" max="4" width="41.85546875" bestFit="1" customWidth="1"/>
    <col min="5" max="8" width="20.85546875" customWidth="1"/>
    <col min="9" max="9" width="30.85546875" customWidth="1"/>
    <col min="10" max="10" width="32.85546875" customWidth="1"/>
    <col min="11" max="11" width="20.85546875" customWidth="1"/>
    <col min="12" max="12" width="24" customWidth="1"/>
    <col min="13" max="13" width="31" customWidth="1"/>
    <col min="14" max="17" width="20.85546875" customWidth="1"/>
  </cols>
  <sheetData>
    <row r="1" spans="2:17" ht="20.25" customHeight="1" x14ac:dyDescent="0.2">
      <c r="B1" s="136" t="s">
        <v>53</v>
      </c>
      <c r="C1" s="136"/>
    </row>
    <row r="2" spans="2:17" ht="20.25" x14ac:dyDescent="0.2">
      <c r="B2" s="136" t="str">
        <f>IF(Tradingname=0," ",Tradingname)</f>
        <v>SEA Gas Partnership</v>
      </c>
      <c r="C2" s="136"/>
    </row>
    <row r="3" spans="2:17" ht="20.25" customHeight="1" x14ac:dyDescent="0.3">
      <c r="B3" s="136" t="s">
        <v>30</v>
      </c>
      <c r="C3" s="105">
        <f>IF(Yearending=0, "01/01/2000", Yearending)</f>
        <v>45838</v>
      </c>
    </row>
    <row r="4" spans="2:17" ht="20.25" x14ac:dyDescent="0.2">
      <c r="B4" s="97" t="s">
        <v>319</v>
      </c>
      <c r="C4" s="97"/>
    </row>
    <row r="5" spans="2:17" ht="12.75" customHeight="1" x14ac:dyDescent="0.2"/>
    <row r="6" spans="2:17" x14ac:dyDescent="0.2">
      <c r="B6" s="410" t="s">
        <v>320</v>
      </c>
      <c r="C6" s="410"/>
      <c r="D6" s="410"/>
      <c r="E6" s="410"/>
    </row>
    <row r="7" spans="2:17" ht="15.75" customHeight="1" x14ac:dyDescent="0.2">
      <c r="B7" s="410"/>
      <c r="C7" s="410"/>
      <c r="D7" s="410"/>
      <c r="E7" s="410"/>
      <c r="G7" s="160"/>
    </row>
    <row r="8" spans="2:17" ht="15.75" customHeight="1" x14ac:dyDescent="0.2">
      <c r="B8" s="410"/>
      <c r="C8" s="410"/>
      <c r="D8" s="410"/>
      <c r="E8" s="410"/>
      <c r="G8" s="160"/>
    </row>
    <row r="9" spans="2:17" x14ac:dyDescent="0.2">
      <c r="G9" s="160"/>
    </row>
    <row r="11" spans="2:17" ht="15.75" x14ac:dyDescent="0.25">
      <c r="B11" s="197" t="s">
        <v>321</v>
      </c>
    </row>
    <row r="13" spans="2:17" ht="45" customHeight="1" x14ac:dyDescent="0.2">
      <c r="B13" s="59" t="s">
        <v>112</v>
      </c>
      <c r="C13" s="60" t="s">
        <v>113</v>
      </c>
      <c r="D13" s="60" t="s">
        <v>310</v>
      </c>
      <c r="E13" s="60" t="s">
        <v>322</v>
      </c>
      <c r="F13" s="60" t="s">
        <v>323</v>
      </c>
      <c r="G13" s="60" t="s">
        <v>324</v>
      </c>
      <c r="H13" s="61" t="s">
        <v>204</v>
      </c>
      <c r="I13" s="61" t="s">
        <v>325</v>
      </c>
      <c r="J13" s="61" t="s">
        <v>326</v>
      </c>
      <c r="K13" s="61" t="s">
        <v>327</v>
      </c>
      <c r="L13" s="60" t="s">
        <v>328</v>
      </c>
      <c r="M13" s="60" t="s">
        <v>329</v>
      </c>
      <c r="N13" s="60" t="s">
        <v>330</v>
      </c>
      <c r="O13" s="60" t="s">
        <v>331</v>
      </c>
      <c r="P13" s="60" t="s">
        <v>332</v>
      </c>
      <c r="Q13" s="40" t="s">
        <v>333</v>
      </c>
    </row>
    <row r="14" spans="2:17" x14ac:dyDescent="0.2">
      <c r="B14" s="294"/>
      <c r="C14" s="62"/>
      <c r="D14" s="62"/>
      <c r="E14" s="62"/>
      <c r="F14" s="62" t="s">
        <v>334</v>
      </c>
      <c r="G14" s="62" t="s">
        <v>115</v>
      </c>
      <c r="H14" s="63" t="s">
        <v>115</v>
      </c>
      <c r="I14" s="63" t="s">
        <v>115</v>
      </c>
      <c r="J14" s="63" t="s">
        <v>115</v>
      </c>
      <c r="K14" s="63" t="s">
        <v>115</v>
      </c>
      <c r="L14" s="62" t="s">
        <v>115</v>
      </c>
      <c r="M14" s="62"/>
      <c r="N14" s="62" t="s">
        <v>115</v>
      </c>
      <c r="O14" s="62" t="s">
        <v>115</v>
      </c>
      <c r="P14" s="62" t="s">
        <v>115</v>
      </c>
      <c r="Q14" s="62" t="s">
        <v>115</v>
      </c>
    </row>
    <row r="15" spans="2:17" x14ac:dyDescent="0.2">
      <c r="B15" s="311" t="s">
        <v>764</v>
      </c>
      <c r="C15" s="83" t="s">
        <v>727</v>
      </c>
      <c r="D15" s="275" t="s">
        <v>203</v>
      </c>
      <c r="E15" s="84" t="s">
        <v>728</v>
      </c>
      <c r="F15" s="85">
        <v>50</v>
      </c>
      <c r="G15" s="86"/>
      <c r="H15" s="86">
        <v>373076514.41173428</v>
      </c>
      <c r="I15" s="86">
        <v>0</v>
      </c>
      <c r="J15" s="86">
        <v>1166804.03</v>
      </c>
      <c r="K15" s="86"/>
      <c r="L15" s="24">
        <f>SUM(H15:K15)</f>
        <v>374243318.44173425</v>
      </c>
      <c r="M15" s="79">
        <v>1</v>
      </c>
      <c r="N15" s="96">
        <f>L15*M15</f>
        <v>374243318.44173425</v>
      </c>
      <c r="O15" s="86">
        <v>-152032315.5</v>
      </c>
      <c r="P15" s="86">
        <v>-7473199</v>
      </c>
      <c r="Q15" s="21">
        <f>SUM(N15:P15)</f>
        <v>214737803.94173425</v>
      </c>
    </row>
    <row r="16" spans="2:17" x14ac:dyDescent="0.2">
      <c r="B16" s="311" t="s">
        <v>764</v>
      </c>
      <c r="C16" s="83" t="s">
        <v>729</v>
      </c>
      <c r="D16" s="275" t="s">
        <v>212</v>
      </c>
      <c r="E16" s="84" t="s">
        <v>715</v>
      </c>
      <c r="F16" s="85">
        <v>30</v>
      </c>
      <c r="G16" s="86"/>
      <c r="H16" s="86">
        <v>38350362.410000011</v>
      </c>
      <c r="I16" s="86">
        <v>0</v>
      </c>
      <c r="J16" s="86">
        <v>0</v>
      </c>
      <c r="K16" s="86"/>
      <c r="L16" s="24">
        <f>SUM(H16:K16)</f>
        <v>38350362.410000011</v>
      </c>
      <c r="M16" s="79">
        <v>1</v>
      </c>
      <c r="N16" s="96">
        <f t="shared" ref="N16:N58" si="0">L16*M16</f>
        <v>38350362.410000011</v>
      </c>
      <c r="O16" s="86">
        <v>-25142254.5</v>
      </c>
      <c r="P16" s="86">
        <v>-1278333</v>
      </c>
      <c r="Q16" s="21">
        <f t="shared" ref="Q16:Q58" si="1">SUM(N16:P16)</f>
        <v>11929774.910000011</v>
      </c>
    </row>
    <row r="17" spans="2:17" x14ac:dyDescent="0.2">
      <c r="B17" s="311" t="s">
        <v>764</v>
      </c>
      <c r="C17" s="83" t="s">
        <v>730</v>
      </c>
      <c r="D17" s="275" t="s">
        <v>214</v>
      </c>
      <c r="E17" s="84" t="s">
        <v>728</v>
      </c>
      <c r="F17" s="85">
        <v>30</v>
      </c>
      <c r="G17" s="86"/>
      <c r="H17" s="86">
        <v>27767463.026936196</v>
      </c>
      <c r="I17" s="86">
        <v>0</v>
      </c>
      <c r="J17" s="86">
        <v>66755.69</v>
      </c>
      <c r="K17" s="86"/>
      <c r="L17" s="24">
        <f t="shared" ref="L17:L58" si="2">SUM(H17:K17)</f>
        <v>27834218.716936197</v>
      </c>
      <c r="M17" s="79">
        <v>1</v>
      </c>
      <c r="N17" s="96">
        <f t="shared" si="0"/>
        <v>27834218.716936197</v>
      </c>
      <c r="O17" s="86">
        <v>-13678298.5</v>
      </c>
      <c r="P17" s="86">
        <v>-695021.5</v>
      </c>
      <c r="Q17" s="21">
        <f t="shared" si="1"/>
        <v>13460898.716936197</v>
      </c>
    </row>
    <row r="18" spans="2:17" x14ac:dyDescent="0.2">
      <c r="B18" s="311" t="s">
        <v>764</v>
      </c>
      <c r="C18" s="83" t="s">
        <v>731</v>
      </c>
      <c r="D18" s="275" t="s">
        <v>216</v>
      </c>
      <c r="E18" s="84" t="s">
        <v>728</v>
      </c>
      <c r="F18" s="85">
        <v>30</v>
      </c>
      <c r="G18" s="86"/>
      <c r="H18" s="86">
        <v>8796804.8659890015</v>
      </c>
      <c r="I18" s="86">
        <v>0</v>
      </c>
      <c r="J18" s="86">
        <v>0</v>
      </c>
      <c r="K18" s="86"/>
      <c r="L18" s="24">
        <f t="shared" si="2"/>
        <v>8796804.8659890015</v>
      </c>
      <c r="M18" s="79">
        <v>1</v>
      </c>
      <c r="N18" s="96">
        <f t="shared" si="0"/>
        <v>8796804.8659890015</v>
      </c>
      <c r="O18" s="86">
        <v>-4270535</v>
      </c>
      <c r="P18" s="86">
        <v>-219919</v>
      </c>
      <c r="Q18" s="21">
        <f t="shared" si="1"/>
        <v>4306350.8659890015</v>
      </c>
    </row>
    <row r="19" spans="2:17" x14ac:dyDescent="0.2">
      <c r="B19" s="311" t="s">
        <v>764</v>
      </c>
      <c r="C19" s="83" t="s">
        <v>732</v>
      </c>
      <c r="D19" s="275" t="s">
        <v>221</v>
      </c>
      <c r="E19" s="84" t="s">
        <v>728</v>
      </c>
      <c r="F19" s="85">
        <v>15</v>
      </c>
      <c r="G19" s="86"/>
      <c r="H19" s="86">
        <v>2290250.0206417115</v>
      </c>
      <c r="I19" s="86">
        <v>0</v>
      </c>
      <c r="J19" s="86">
        <v>200436.98727272727</v>
      </c>
      <c r="K19" s="86"/>
      <c r="L19" s="24">
        <f t="shared" si="2"/>
        <v>2490687.0079144388</v>
      </c>
      <c r="M19" s="79">
        <v>1</v>
      </c>
      <c r="N19" s="96">
        <f t="shared" si="0"/>
        <v>2490687.0079144388</v>
      </c>
      <c r="O19" s="86">
        <v>-2009219</v>
      </c>
      <c r="P19" s="86">
        <v>-33722</v>
      </c>
      <c r="Q19" s="21">
        <f t="shared" si="1"/>
        <v>447746.00791443884</v>
      </c>
    </row>
    <row r="20" spans="2:17" x14ac:dyDescent="0.2">
      <c r="B20" s="311" t="s">
        <v>764</v>
      </c>
      <c r="C20" s="83" t="s">
        <v>733</v>
      </c>
      <c r="D20" s="275" t="s">
        <v>223</v>
      </c>
      <c r="E20" s="84" t="s">
        <v>734</v>
      </c>
      <c r="F20" s="85">
        <v>80</v>
      </c>
      <c r="G20" s="86"/>
      <c r="H20" s="86">
        <v>595765.81000000006</v>
      </c>
      <c r="I20" s="86">
        <v>0</v>
      </c>
      <c r="J20" s="86">
        <v>69106.354999999996</v>
      </c>
      <c r="K20" s="86"/>
      <c r="L20" s="24">
        <f t="shared" si="2"/>
        <v>664872.16500000004</v>
      </c>
      <c r="M20" s="79">
        <v>1</v>
      </c>
      <c r="N20" s="96">
        <f t="shared" si="0"/>
        <v>664872.16500000004</v>
      </c>
      <c r="O20" s="86">
        <v>-60653.5</v>
      </c>
      <c r="P20" s="86">
        <v>-7879</v>
      </c>
      <c r="Q20" s="21">
        <f t="shared" si="1"/>
        <v>596339.66500000004</v>
      </c>
    </row>
    <row r="21" spans="2:17" x14ac:dyDescent="0.2">
      <c r="B21" s="311" t="s">
        <v>764</v>
      </c>
      <c r="C21" s="83" t="s">
        <v>735</v>
      </c>
      <c r="D21" s="275" t="s">
        <v>225</v>
      </c>
      <c r="E21" s="84" t="s">
        <v>736</v>
      </c>
      <c r="F21" s="85">
        <v>80</v>
      </c>
      <c r="G21" s="86"/>
      <c r="H21" s="86">
        <v>7647681.1120850155</v>
      </c>
      <c r="I21" s="86">
        <v>0</v>
      </c>
      <c r="J21" s="86">
        <v>6223.3</v>
      </c>
      <c r="K21" s="86"/>
      <c r="L21" s="24">
        <f t="shared" si="2"/>
        <v>7653904.4120850153</v>
      </c>
      <c r="M21" s="79">
        <v>1</v>
      </c>
      <c r="N21" s="96">
        <f t="shared" si="0"/>
        <v>7653904.4120850153</v>
      </c>
      <c r="O21" s="86">
        <v>-1886441.5</v>
      </c>
      <c r="P21" s="86">
        <v>-95635</v>
      </c>
      <c r="Q21" s="21">
        <f t="shared" si="1"/>
        <v>5671827.9120850153</v>
      </c>
    </row>
    <row r="22" spans="2:17" x14ac:dyDescent="0.2">
      <c r="B22" s="311" t="s">
        <v>764</v>
      </c>
      <c r="C22" s="83" t="s">
        <v>711</v>
      </c>
      <c r="D22" s="275" t="s">
        <v>227</v>
      </c>
      <c r="E22" s="84" t="s">
        <v>736</v>
      </c>
      <c r="F22" s="85">
        <v>10</v>
      </c>
      <c r="G22" s="86"/>
      <c r="H22" s="86">
        <v>904084.46380971733</v>
      </c>
      <c r="I22" s="86">
        <v>85660.985796999797</v>
      </c>
      <c r="J22" s="86"/>
      <c r="K22" s="86"/>
      <c r="L22" s="24">
        <f t="shared" si="2"/>
        <v>989745.4496067171</v>
      </c>
      <c r="M22" s="79">
        <v>1</v>
      </c>
      <c r="N22" s="96">
        <f t="shared" si="0"/>
        <v>989745.4496067171</v>
      </c>
      <c r="O22" s="86">
        <v>-409218</v>
      </c>
      <c r="P22" s="86">
        <v>-68179</v>
      </c>
      <c r="Q22" s="21">
        <f t="shared" si="1"/>
        <v>512348.4496067171</v>
      </c>
    </row>
    <row r="23" spans="2:17" x14ac:dyDescent="0.2">
      <c r="B23" s="295"/>
      <c r="C23" s="83"/>
      <c r="D23" s="275"/>
      <c r="E23" s="84"/>
      <c r="F23" s="85"/>
      <c r="G23" s="86"/>
      <c r="H23" s="86"/>
      <c r="I23" s="86"/>
      <c r="J23" s="86"/>
      <c r="K23" s="86"/>
      <c r="L23" s="24">
        <f t="shared" si="2"/>
        <v>0</v>
      </c>
      <c r="M23" s="79">
        <v>1</v>
      </c>
      <c r="N23" s="96">
        <f t="shared" si="0"/>
        <v>0</v>
      </c>
      <c r="O23" s="86"/>
      <c r="P23" s="86"/>
      <c r="Q23" s="21">
        <f t="shared" si="1"/>
        <v>0</v>
      </c>
    </row>
    <row r="24" spans="2:17" x14ac:dyDescent="0.2">
      <c r="B24" s="295"/>
      <c r="C24" s="83"/>
      <c r="D24" s="275"/>
      <c r="E24" s="84"/>
      <c r="F24" s="85"/>
      <c r="G24" s="86"/>
      <c r="H24" s="86"/>
      <c r="I24" s="86"/>
      <c r="J24" s="86"/>
      <c r="K24" s="86"/>
      <c r="L24" s="24">
        <f t="shared" si="2"/>
        <v>0</v>
      </c>
      <c r="M24" s="79">
        <v>1</v>
      </c>
      <c r="N24" s="96">
        <f t="shared" si="0"/>
        <v>0</v>
      </c>
      <c r="O24" s="86"/>
      <c r="P24" s="86"/>
      <c r="Q24" s="21">
        <f t="shared" si="1"/>
        <v>0</v>
      </c>
    </row>
    <row r="25" spans="2:17" x14ac:dyDescent="0.2">
      <c r="B25" s="295"/>
      <c r="C25" s="83"/>
      <c r="D25" s="275"/>
      <c r="E25" s="84"/>
      <c r="F25" s="85"/>
      <c r="G25" s="86"/>
      <c r="H25" s="86"/>
      <c r="I25" s="86"/>
      <c r="J25" s="86"/>
      <c r="K25" s="86"/>
      <c r="L25" s="24">
        <f t="shared" si="2"/>
        <v>0</v>
      </c>
      <c r="M25" s="79">
        <v>1</v>
      </c>
      <c r="N25" s="96">
        <f t="shared" si="0"/>
        <v>0</v>
      </c>
      <c r="O25" s="86"/>
      <c r="P25" s="86"/>
      <c r="Q25" s="21">
        <f t="shared" si="1"/>
        <v>0</v>
      </c>
    </row>
    <row r="26" spans="2:17" x14ac:dyDescent="0.2">
      <c r="B26" s="295"/>
      <c r="C26" s="83"/>
      <c r="D26" s="275"/>
      <c r="E26" s="84"/>
      <c r="F26" s="85"/>
      <c r="G26" s="86"/>
      <c r="H26" s="86"/>
      <c r="I26" s="86"/>
      <c r="J26" s="86"/>
      <c r="K26" s="86"/>
      <c r="L26" s="24">
        <f t="shared" si="2"/>
        <v>0</v>
      </c>
      <c r="M26" s="79">
        <v>1</v>
      </c>
      <c r="N26" s="96">
        <f t="shared" si="0"/>
        <v>0</v>
      </c>
      <c r="O26" s="86"/>
      <c r="P26" s="86"/>
      <c r="Q26" s="21">
        <f t="shared" si="1"/>
        <v>0</v>
      </c>
    </row>
    <row r="27" spans="2:17" x14ac:dyDescent="0.2">
      <c r="B27" s="295"/>
      <c r="C27" s="83"/>
      <c r="D27" s="275"/>
      <c r="E27" s="84"/>
      <c r="F27" s="85"/>
      <c r="G27" s="86"/>
      <c r="H27" s="86"/>
      <c r="I27" s="86"/>
      <c r="J27" s="86"/>
      <c r="K27" s="86"/>
      <c r="L27" s="24">
        <f t="shared" si="2"/>
        <v>0</v>
      </c>
      <c r="M27" s="79">
        <v>1</v>
      </c>
      <c r="N27" s="96">
        <f t="shared" si="0"/>
        <v>0</v>
      </c>
      <c r="O27" s="86"/>
      <c r="P27" s="86"/>
      <c r="Q27" s="21">
        <f t="shared" si="1"/>
        <v>0</v>
      </c>
    </row>
    <row r="28" spans="2:17" x14ac:dyDescent="0.2">
      <c r="B28" s="295"/>
      <c r="C28" s="83"/>
      <c r="D28" s="275"/>
      <c r="E28" s="84"/>
      <c r="F28" s="85"/>
      <c r="G28" s="86"/>
      <c r="H28" s="86"/>
      <c r="I28" s="86"/>
      <c r="J28" s="86"/>
      <c r="K28" s="86"/>
      <c r="L28" s="24">
        <f t="shared" si="2"/>
        <v>0</v>
      </c>
      <c r="M28" s="79">
        <v>1</v>
      </c>
      <c r="N28" s="96">
        <f t="shared" si="0"/>
        <v>0</v>
      </c>
      <c r="O28" s="86"/>
      <c r="P28" s="86"/>
      <c r="Q28" s="21">
        <f t="shared" si="1"/>
        <v>0</v>
      </c>
    </row>
    <row r="29" spans="2:17" x14ac:dyDescent="0.2">
      <c r="B29" s="295"/>
      <c r="C29" s="83"/>
      <c r="D29" s="275"/>
      <c r="E29" s="84"/>
      <c r="F29" s="85"/>
      <c r="G29" s="86"/>
      <c r="H29" s="86"/>
      <c r="I29" s="86"/>
      <c r="J29" s="86"/>
      <c r="K29" s="86"/>
      <c r="L29" s="24">
        <f t="shared" si="2"/>
        <v>0</v>
      </c>
      <c r="M29" s="79">
        <v>1</v>
      </c>
      <c r="N29" s="96">
        <f t="shared" si="0"/>
        <v>0</v>
      </c>
      <c r="O29" s="86"/>
      <c r="P29" s="86"/>
      <c r="Q29" s="21">
        <f t="shared" si="1"/>
        <v>0</v>
      </c>
    </row>
    <row r="30" spans="2:17" x14ac:dyDescent="0.2">
      <c r="B30" s="295"/>
      <c r="C30" s="83"/>
      <c r="D30" s="275"/>
      <c r="E30" s="84"/>
      <c r="F30" s="85"/>
      <c r="G30" s="86"/>
      <c r="H30" s="86"/>
      <c r="I30" s="86"/>
      <c r="J30" s="86"/>
      <c r="K30" s="86"/>
      <c r="L30" s="24">
        <f t="shared" si="2"/>
        <v>0</v>
      </c>
      <c r="M30" s="79">
        <v>1</v>
      </c>
      <c r="N30" s="96">
        <f t="shared" si="0"/>
        <v>0</v>
      </c>
      <c r="O30" s="86"/>
      <c r="P30" s="86"/>
      <c r="Q30" s="21">
        <f t="shared" si="1"/>
        <v>0</v>
      </c>
    </row>
    <row r="31" spans="2:17" x14ac:dyDescent="0.2">
      <c r="B31" s="295"/>
      <c r="C31" s="83"/>
      <c r="D31" s="275"/>
      <c r="E31" s="84"/>
      <c r="F31" s="85"/>
      <c r="G31" s="86"/>
      <c r="H31" s="86"/>
      <c r="I31" s="86"/>
      <c r="J31" s="86"/>
      <c r="K31" s="86"/>
      <c r="L31" s="24">
        <f t="shared" si="2"/>
        <v>0</v>
      </c>
      <c r="M31" s="79">
        <v>1</v>
      </c>
      <c r="N31" s="96">
        <f t="shared" si="0"/>
        <v>0</v>
      </c>
      <c r="O31" s="86"/>
      <c r="P31" s="86"/>
      <c r="Q31" s="21">
        <f t="shared" si="1"/>
        <v>0</v>
      </c>
    </row>
    <row r="32" spans="2:17" x14ac:dyDescent="0.2">
      <c r="B32" s="295"/>
      <c r="C32" s="83"/>
      <c r="D32" s="275"/>
      <c r="E32" s="84"/>
      <c r="F32" s="85"/>
      <c r="G32" s="86"/>
      <c r="H32" s="86"/>
      <c r="I32" s="86"/>
      <c r="J32" s="86"/>
      <c r="K32" s="86"/>
      <c r="L32" s="24">
        <f t="shared" si="2"/>
        <v>0</v>
      </c>
      <c r="M32" s="79">
        <v>1</v>
      </c>
      <c r="N32" s="96">
        <f t="shared" si="0"/>
        <v>0</v>
      </c>
      <c r="O32" s="86"/>
      <c r="P32" s="86"/>
      <c r="Q32" s="21">
        <f t="shared" si="1"/>
        <v>0</v>
      </c>
    </row>
    <row r="33" spans="2:17" x14ac:dyDescent="0.2">
      <c r="B33" s="295"/>
      <c r="C33" s="83"/>
      <c r="D33" s="275"/>
      <c r="E33" s="84"/>
      <c r="F33" s="85"/>
      <c r="G33" s="86"/>
      <c r="H33" s="86"/>
      <c r="I33" s="86"/>
      <c r="J33" s="86"/>
      <c r="K33" s="86"/>
      <c r="L33" s="24">
        <f t="shared" si="2"/>
        <v>0</v>
      </c>
      <c r="M33" s="79">
        <v>1</v>
      </c>
      <c r="N33" s="96">
        <f t="shared" si="0"/>
        <v>0</v>
      </c>
      <c r="O33" s="86"/>
      <c r="P33" s="86"/>
      <c r="Q33" s="21">
        <f t="shared" si="1"/>
        <v>0</v>
      </c>
    </row>
    <row r="34" spans="2:17" x14ac:dyDescent="0.2">
      <c r="B34" s="295"/>
      <c r="C34" s="83"/>
      <c r="D34" s="275"/>
      <c r="E34" s="84"/>
      <c r="F34" s="85"/>
      <c r="G34" s="86"/>
      <c r="H34" s="86"/>
      <c r="I34" s="86"/>
      <c r="J34" s="86"/>
      <c r="K34" s="86"/>
      <c r="L34" s="24">
        <f t="shared" si="2"/>
        <v>0</v>
      </c>
      <c r="M34" s="79">
        <v>1</v>
      </c>
      <c r="N34" s="96">
        <f t="shared" si="0"/>
        <v>0</v>
      </c>
      <c r="O34" s="86"/>
      <c r="P34" s="86"/>
      <c r="Q34" s="21">
        <f t="shared" si="1"/>
        <v>0</v>
      </c>
    </row>
    <row r="35" spans="2:17" x14ac:dyDescent="0.2">
      <c r="B35" s="295"/>
      <c r="C35" s="83"/>
      <c r="D35" s="275"/>
      <c r="E35" s="84"/>
      <c r="F35" s="85"/>
      <c r="G35" s="86"/>
      <c r="H35" s="86"/>
      <c r="I35" s="86"/>
      <c r="J35" s="86"/>
      <c r="K35" s="86"/>
      <c r="L35" s="24">
        <f t="shared" si="2"/>
        <v>0</v>
      </c>
      <c r="M35" s="79">
        <v>1</v>
      </c>
      <c r="N35" s="96">
        <f t="shared" si="0"/>
        <v>0</v>
      </c>
      <c r="O35" s="86"/>
      <c r="P35" s="86"/>
      <c r="Q35" s="21">
        <f t="shared" si="1"/>
        <v>0</v>
      </c>
    </row>
    <row r="36" spans="2:17" x14ac:dyDescent="0.2">
      <c r="B36" s="295"/>
      <c r="C36" s="83"/>
      <c r="D36" s="275"/>
      <c r="E36" s="84"/>
      <c r="F36" s="85"/>
      <c r="G36" s="86"/>
      <c r="H36" s="86"/>
      <c r="I36" s="86"/>
      <c r="J36" s="86"/>
      <c r="K36" s="86"/>
      <c r="L36" s="24">
        <f t="shared" si="2"/>
        <v>0</v>
      </c>
      <c r="M36" s="79">
        <v>1</v>
      </c>
      <c r="N36" s="96">
        <f t="shared" si="0"/>
        <v>0</v>
      </c>
      <c r="O36" s="86"/>
      <c r="P36" s="86"/>
      <c r="Q36" s="21">
        <f t="shared" si="1"/>
        <v>0</v>
      </c>
    </row>
    <row r="37" spans="2:17" x14ac:dyDescent="0.2">
      <c r="B37" s="295"/>
      <c r="C37" s="83"/>
      <c r="D37" s="275"/>
      <c r="E37" s="84"/>
      <c r="F37" s="85"/>
      <c r="G37" s="86"/>
      <c r="H37" s="86"/>
      <c r="I37" s="86"/>
      <c r="J37" s="86"/>
      <c r="K37" s="86"/>
      <c r="L37" s="24">
        <f t="shared" si="2"/>
        <v>0</v>
      </c>
      <c r="M37" s="79">
        <v>1</v>
      </c>
      <c r="N37" s="96">
        <f t="shared" si="0"/>
        <v>0</v>
      </c>
      <c r="O37" s="86"/>
      <c r="P37" s="86"/>
      <c r="Q37" s="21">
        <f t="shared" si="1"/>
        <v>0</v>
      </c>
    </row>
    <row r="38" spans="2:17" x14ac:dyDescent="0.2">
      <c r="B38" s="295"/>
      <c r="C38" s="83"/>
      <c r="D38" s="275"/>
      <c r="E38" s="84"/>
      <c r="F38" s="85"/>
      <c r="G38" s="86"/>
      <c r="H38" s="86"/>
      <c r="I38" s="86"/>
      <c r="J38" s="86"/>
      <c r="K38" s="86"/>
      <c r="L38" s="24">
        <f t="shared" si="2"/>
        <v>0</v>
      </c>
      <c r="M38" s="79">
        <v>1</v>
      </c>
      <c r="N38" s="96">
        <f t="shared" si="0"/>
        <v>0</v>
      </c>
      <c r="O38" s="86"/>
      <c r="P38" s="86"/>
      <c r="Q38" s="21">
        <f t="shared" si="1"/>
        <v>0</v>
      </c>
    </row>
    <row r="39" spans="2:17" x14ac:dyDescent="0.2">
      <c r="B39" s="295"/>
      <c r="C39" s="83"/>
      <c r="D39" s="275"/>
      <c r="E39" s="84"/>
      <c r="F39" s="85"/>
      <c r="G39" s="86"/>
      <c r="H39" s="86"/>
      <c r="I39" s="86"/>
      <c r="J39" s="86"/>
      <c r="K39" s="86"/>
      <c r="L39" s="24">
        <f t="shared" si="2"/>
        <v>0</v>
      </c>
      <c r="M39" s="79">
        <v>1</v>
      </c>
      <c r="N39" s="96">
        <f t="shared" si="0"/>
        <v>0</v>
      </c>
      <c r="O39" s="86"/>
      <c r="P39" s="86"/>
      <c r="Q39" s="21">
        <f t="shared" si="1"/>
        <v>0</v>
      </c>
    </row>
    <row r="40" spans="2:17" x14ac:dyDescent="0.2">
      <c r="B40" s="295"/>
      <c r="C40" s="83"/>
      <c r="D40" s="275"/>
      <c r="E40" s="84"/>
      <c r="F40" s="85"/>
      <c r="G40" s="86"/>
      <c r="H40" s="86"/>
      <c r="I40" s="86"/>
      <c r="J40" s="86"/>
      <c r="K40" s="86"/>
      <c r="L40" s="24">
        <f t="shared" si="2"/>
        <v>0</v>
      </c>
      <c r="M40" s="79">
        <v>1</v>
      </c>
      <c r="N40" s="96">
        <f t="shared" si="0"/>
        <v>0</v>
      </c>
      <c r="O40" s="86"/>
      <c r="P40" s="86"/>
      <c r="Q40" s="21">
        <f t="shared" si="1"/>
        <v>0</v>
      </c>
    </row>
    <row r="41" spans="2:17" x14ac:dyDescent="0.2">
      <c r="B41" s="295"/>
      <c r="C41" s="83"/>
      <c r="D41" s="275"/>
      <c r="E41" s="84"/>
      <c r="F41" s="85"/>
      <c r="G41" s="86"/>
      <c r="H41" s="86"/>
      <c r="I41" s="86"/>
      <c r="J41" s="86"/>
      <c r="K41" s="86"/>
      <c r="L41" s="24">
        <f t="shared" si="2"/>
        <v>0</v>
      </c>
      <c r="M41" s="79">
        <v>1</v>
      </c>
      <c r="N41" s="96">
        <f t="shared" si="0"/>
        <v>0</v>
      </c>
      <c r="O41" s="86"/>
      <c r="P41" s="86"/>
      <c r="Q41" s="21">
        <f t="shared" si="1"/>
        <v>0</v>
      </c>
    </row>
    <row r="42" spans="2:17" x14ac:dyDescent="0.2">
      <c r="B42" s="295"/>
      <c r="C42" s="83"/>
      <c r="D42" s="275"/>
      <c r="E42" s="84"/>
      <c r="F42" s="85"/>
      <c r="G42" s="86"/>
      <c r="H42" s="86"/>
      <c r="I42" s="86"/>
      <c r="J42" s="86"/>
      <c r="K42" s="86"/>
      <c r="L42" s="24">
        <f t="shared" si="2"/>
        <v>0</v>
      </c>
      <c r="M42" s="79">
        <v>1</v>
      </c>
      <c r="N42" s="96">
        <f t="shared" si="0"/>
        <v>0</v>
      </c>
      <c r="O42" s="86"/>
      <c r="P42" s="86"/>
      <c r="Q42" s="21">
        <f t="shared" si="1"/>
        <v>0</v>
      </c>
    </row>
    <row r="43" spans="2:17" x14ac:dyDescent="0.2">
      <c r="B43" s="295"/>
      <c r="C43" s="83"/>
      <c r="D43" s="275"/>
      <c r="E43" s="84"/>
      <c r="F43" s="85"/>
      <c r="G43" s="86"/>
      <c r="H43" s="86"/>
      <c r="I43" s="86"/>
      <c r="J43" s="86"/>
      <c r="K43" s="86"/>
      <c r="L43" s="24">
        <f t="shared" si="2"/>
        <v>0</v>
      </c>
      <c r="M43" s="79">
        <v>1</v>
      </c>
      <c r="N43" s="96">
        <f t="shared" si="0"/>
        <v>0</v>
      </c>
      <c r="O43" s="86"/>
      <c r="P43" s="86"/>
      <c r="Q43" s="21">
        <f t="shared" si="1"/>
        <v>0</v>
      </c>
    </row>
    <row r="44" spans="2:17" x14ac:dyDescent="0.2">
      <c r="B44" s="295"/>
      <c r="C44" s="83"/>
      <c r="D44" s="275"/>
      <c r="E44" s="84"/>
      <c r="F44" s="85"/>
      <c r="G44" s="86"/>
      <c r="H44" s="86"/>
      <c r="I44" s="86"/>
      <c r="J44" s="86"/>
      <c r="K44" s="86"/>
      <c r="L44" s="24">
        <f t="shared" si="2"/>
        <v>0</v>
      </c>
      <c r="M44" s="79">
        <v>1</v>
      </c>
      <c r="N44" s="96">
        <f t="shared" si="0"/>
        <v>0</v>
      </c>
      <c r="O44" s="86"/>
      <c r="P44" s="86"/>
      <c r="Q44" s="21">
        <f t="shared" si="1"/>
        <v>0</v>
      </c>
    </row>
    <row r="45" spans="2:17" x14ac:dyDescent="0.2">
      <c r="B45" s="295"/>
      <c r="C45" s="83"/>
      <c r="D45" s="275"/>
      <c r="E45" s="84"/>
      <c r="F45" s="85"/>
      <c r="G45" s="86"/>
      <c r="H45" s="86"/>
      <c r="I45" s="86"/>
      <c r="J45" s="86"/>
      <c r="K45" s="86"/>
      <c r="L45" s="24">
        <f t="shared" si="2"/>
        <v>0</v>
      </c>
      <c r="M45" s="79">
        <v>1</v>
      </c>
      <c r="N45" s="96">
        <f t="shared" si="0"/>
        <v>0</v>
      </c>
      <c r="O45" s="86"/>
      <c r="P45" s="86"/>
      <c r="Q45" s="21">
        <f t="shared" si="1"/>
        <v>0</v>
      </c>
    </row>
    <row r="46" spans="2:17" x14ac:dyDescent="0.2">
      <c r="B46" s="295"/>
      <c r="C46" s="83"/>
      <c r="D46" s="275"/>
      <c r="E46" s="84"/>
      <c r="F46" s="85"/>
      <c r="G46" s="86"/>
      <c r="H46" s="86"/>
      <c r="I46" s="86"/>
      <c r="J46" s="86"/>
      <c r="K46" s="86"/>
      <c r="L46" s="24">
        <f t="shared" si="2"/>
        <v>0</v>
      </c>
      <c r="M46" s="79">
        <v>1</v>
      </c>
      <c r="N46" s="96">
        <f t="shared" si="0"/>
        <v>0</v>
      </c>
      <c r="O46" s="86"/>
      <c r="P46" s="86"/>
      <c r="Q46" s="21">
        <f t="shared" si="1"/>
        <v>0</v>
      </c>
    </row>
    <row r="47" spans="2:17" x14ac:dyDescent="0.2">
      <c r="B47" s="295"/>
      <c r="C47" s="83"/>
      <c r="D47" s="275"/>
      <c r="E47" s="84"/>
      <c r="F47" s="85"/>
      <c r="G47" s="86"/>
      <c r="H47" s="86"/>
      <c r="I47" s="86"/>
      <c r="J47" s="86"/>
      <c r="K47" s="86"/>
      <c r="L47" s="24">
        <f t="shared" si="2"/>
        <v>0</v>
      </c>
      <c r="M47" s="79">
        <v>1</v>
      </c>
      <c r="N47" s="96">
        <f t="shared" si="0"/>
        <v>0</v>
      </c>
      <c r="O47" s="86"/>
      <c r="P47" s="86"/>
      <c r="Q47" s="21">
        <f t="shared" si="1"/>
        <v>0</v>
      </c>
    </row>
    <row r="48" spans="2:17" x14ac:dyDescent="0.2">
      <c r="B48" s="295"/>
      <c r="C48" s="83"/>
      <c r="D48" s="275"/>
      <c r="E48" s="84"/>
      <c r="F48" s="85"/>
      <c r="G48" s="86"/>
      <c r="H48" s="86"/>
      <c r="I48" s="86"/>
      <c r="J48" s="86"/>
      <c r="K48" s="86"/>
      <c r="L48" s="24">
        <f t="shared" si="2"/>
        <v>0</v>
      </c>
      <c r="M48" s="79">
        <v>1</v>
      </c>
      <c r="N48" s="96">
        <f t="shared" si="0"/>
        <v>0</v>
      </c>
      <c r="O48" s="86"/>
      <c r="P48" s="86"/>
      <c r="Q48" s="21">
        <f t="shared" si="1"/>
        <v>0</v>
      </c>
    </row>
    <row r="49" spans="2:17" x14ac:dyDescent="0.2">
      <c r="B49" s="295"/>
      <c r="C49" s="83"/>
      <c r="D49" s="275"/>
      <c r="E49" s="84"/>
      <c r="F49" s="85"/>
      <c r="G49" s="86"/>
      <c r="H49" s="86"/>
      <c r="I49" s="86"/>
      <c r="J49" s="86"/>
      <c r="K49" s="86"/>
      <c r="L49" s="24">
        <f t="shared" si="2"/>
        <v>0</v>
      </c>
      <c r="M49" s="79">
        <v>1</v>
      </c>
      <c r="N49" s="96">
        <f t="shared" si="0"/>
        <v>0</v>
      </c>
      <c r="O49" s="86"/>
      <c r="P49" s="86"/>
      <c r="Q49" s="21">
        <f t="shared" si="1"/>
        <v>0</v>
      </c>
    </row>
    <row r="50" spans="2:17" x14ac:dyDescent="0.2">
      <c r="B50" s="295"/>
      <c r="C50" s="83"/>
      <c r="D50" s="275"/>
      <c r="E50" s="84"/>
      <c r="F50" s="85"/>
      <c r="G50" s="86"/>
      <c r="H50" s="86"/>
      <c r="I50" s="86"/>
      <c r="J50" s="86"/>
      <c r="K50" s="86"/>
      <c r="L50" s="24">
        <f t="shared" si="2"/>
        <v>0</v>
      </c>
      <c r="M50" s="79">
        <v>1</v>
      </c>
      <c r="N50" s="96">
        <f t="shared" si="0"/>
        <v>0</v>
      </c>
      <c r="O50" s="86"/>
      <c r="P50" s="86"/>
      <c r="Q50" s="21">
        <f t="shared" si="1"/>
        <v>0</v>
      </c>
    </row>
    <row r="51" spans="2:17" x14ac:dyDescent="0.2">
      <c r="B51" s="295"/>
      <c r="C51" s="83"/>
      <c r="D51" s="275"/>
      <c r="E51" s="84"/>
      <c r="F51" s="85"/>
      <c r="G51" s="86"/>
      <c r="H51" s="86"/>
      <c r="I51" s="86"/>
      <c r="J51" s="86"/>
      <c r="K51" s="86"/>
      <c r="L51" s="24">
        <f t="shared" si="2"/>
        <v>0</v>
      </c>
      <c r="M51" s="79">
        <v>1</v>
      </c>
      <c r="N51" s="96">
        <f t="shared" si="0"/>
        <v>0</v>
      </c>
      <c r="O51" s="86"/>
      <c r="P51" s="86"/>
      <c r="Q51" s="21">
        <f t="shared" si="1"/>
        <v>0</v>
      </c>
    </row>
    <row r="52" spans="2:17" x14ac:dyDescent="0.2">
      <c r="B52" s="295"/>
      <c r="C52" s="83"/>
      <c r="D52" s="275"/>
      <c r="E52" s="84"/>
      <c r="F52" s="85"/>
      <c r="G52" s="86"/>
      <c r="H52" s="86"/>
      <c r="I52" s="86"/>
      <c r="J52" s="86"/>
      <c r="K52" s="86"/>
      <c r="L52" s="24">
        <f t="shared" si="2"/>
        <v>0</v>
      </c>
      <c r="M52" s="79">
        <v>1</v>
      </c>
      <c r="N52" s="96">
        <f t="shared" si="0"/>
        <v>0</v>
      </c>
      <c r="O52" s="86"/>
      <c r="P52" s="86"/>
      <c r="Q52" s="21">
        <f t="shared" si="1"/>
        <v>0</v>
      </c>
    </row>
    <row r="53" spans="2:17" x14ac:dyDescent="0.2">
      <c r="B53" s="295"/>
      <c r="C53" s="83"/>
      <c r="D53" s="275"/>
      <c r="E53" s="84"/>
      <c r="F53" s="85"/>
      <c r="G53" s="86"/>
      <c r="H53" s="86"/>
      <c r="I53" s="86"/>
      <c r="J53" s="86"/>
      <c r="K53" s="86"/>
      <c r="L53" s="24">
        <f t="shared" si="2"/>
        <v>0</v>
      </c>
      <c r="M53" s="79">
        <v>1</v>
      </c>
      <c r="N53" s="96">
        <f t="shared" si="0"/>
        <v>0</v>
      </c>
      <c r="O53" s="86"/>
      <c r="P53" s="86"/>
      <c r="Q53" s="21">
        <f t="shared" si="1"/>
        <v>0</v>
      </c>
    </row>
    <row r="54" spans="2:17" x14ac:dyDescent="0.2">
      <c r="B54" s="295"/>
      <c r="C54" s="83"/>
      <c r="D54" s="275"/>
      <c r="E54" s="84"/>
      <c r="F54" s="85"/>
      <c r="G54" s="86"/>
      <c r="H54" s="86"/>
      <c r="I54" s="86"/>
      <c r="J54" s="86"/>
      <c r="K54" s="86"/>
      <c r="L54" s="24">
        <f t="shared" si="2"/>
        <v>0</v>
      </c>
      <c r="M54" s="79">
        <v>1</v>
      </c>
      <c r="N54" s="96">
        <f t="shared" si="0"/>
        <v>0</v>
      </c>
      <c r="O54" s="86"/>
      <c r="P54" s="86"/>
      <c r="Q54" s="21">
        <f>SUM(N54:P54)</f>
        <v>0</v>
      </c>
    </row>
    <row r="55" spans="2:17" x14ac:dyDescent="0.2">
      <c r="B55" s="295"/>
      <c r="C55" s="83"/>
      <c r="D55" s="275"/>
      <c r="E55" s="84"/>
      <c r="F55" s="85"/>
      <c r="G55" s="86"/>
      <c r="H55" s="86"/>
      <c r="I55" s="86"/>
      <c r="J55" s="86"/>
      <c r="K55" s="86"/>
      <c r="L55" s="24">
        <f t="shared" si="2"/>
        <v>0</v>
      </c>
      <c r="M55" s="79">
        <v>1</v>
      </c>
      <c r="N55" s="96">
        <f t="shared" si="0"/>
        <v>0</v>
      </c>
      <c r="O55" s="86"/>
      <c r="P55" s="86"/>
      <c r="Q55" s="21">
        <f t="shared" si="1"/>
        <v>0</v>
      </c>
    </row>
    <row r="56" spans="2:17" x14ac:dyDescent="0.2">
      <c r="B56" s="295"/>
      <c r="C56" s="83"/>
      <c r="D56" s="275"/>
      <c r="E56" s="84"/>
      <c r="F56" s="85"/>
      <c r="G56" s="86"/>
      <c r="H56" s="86"/>
      <c r="I56" s="86"/>
      <c r="J56" s="86"/>
      <c r="K56" s="86"/>
      <c r="L56" s="24">
        <f t="shared" si="2"/>
        <v>0</v>
      </c>
      <c r="M56" s="79">
        <v>1</v>
      </c>
      <c r="N56" s="96">
        <f t="shared" si="0"/>
        <v>0</v>
      </c>
      <c r="O56" s="86"/>
      <c r="P56" s="86"/>
      <c r="Q56" s="21">
        <f t="shared" si="1"/>
        <v>0</v>
      </c>
    </row>
    <row r="57" spans="2:17" x14ac:dyDescent="0.2">
      <c r="B57" s="295"/>
      <c r="C57" s="83"/>
      <c r="D57" s="275"/>
      <c r="E57" s="84"/>
      <c r="F57" s="85"/>
      <c r="G57" s="86"/>
      <c r="H57" s="86"/>
      <c r="I57" s="86"/>
      <c r="J57" s="86"/>
      <c r="K57" s="86"/>
      <c r="L57" s="24">
        <f t="shared" si="2"/>
        <v>0</v>
      </c>
      <c r="M57" s="79">
        <v>1</v>
      </c>
      <c r="N57" s="96">
        <f t="shared" si="0"/>
        <v>0</v>
      </c>
      <c r="O57" s="86"/>
      <c r="P57" s="86"/>
      <c r="Q57" s="21">
        <f>SUM(N57:P57)</f>
        <v>0</v>
      </c>
    </row>
    <row r="58" spans="2:17" x14ac:dyDescent="0.2">
      <c r="B58" s="295"/>
      <c r="C58" s="83"/>
      <c r="D58" s="275"/>
      <c r="E58" s="84"/>
      <c r="F58" s="85"/>
      <c r="G58" s="86"/>
      <c r="H58" s="86"/>
      <c r="I58" s="86"/>
      <c r="J58" s="86"/>
      <c r="K58" s="86"/>
      <c r="L58" s="24">
        <f t="shared" si="2"/>
        <v>0</v>
      </c>
      <c r="M58" s="79">
        <v>1</v>
      </c>
      <c r="N58" s="96">
        <f t="shared" si="0"/>
        <v>0</v>
      </c>
      <c r="O58" s="86"/>
      <c r="P58" s="86"/>
      <c r="Q58" s="21">
        <f t="shared" si="1"/>
        <v>0</v>
      </c>
    </row>
    <row r="59" spans="2:17" x14ac:dyDescent="0.2">
      <c r="B59" s="296"/>
      <c r="C59" s="25" t="s">
        <v>234</v>
      </c>
      <c r="D59" s="25"/>
      <c r="E59" s="26"/>
      <c r="F59" s="27"/>
      <c r="G59" s="22">
        <f t="shared" ref="G59:L59" si="3">SUM(G15:G58)</f>
        <v>0</v>
      </c>
      <c r="H59" s="22">
        <f t="shared" si="3"/>
        <v>459428926.12119597</v>
      </c>
      <c r="I59" s="22">
        <f t="shared" si="3"/>
        <v>85660.985796999797</v>
      </c>
      <c r="J59" s="22">
        <f t="shared" si="3"/>
        <v>1509326.3622727273</v>
      </c>
      <c r="K59" s="22">
        <f t="shared" si="3"/>
        <v>0</v>
      </c>
      <c r="L59" s="22">
        <f t="shared" si="3"/>
        <v>461023913.46926564</v>
      </c>
      <c r="M59" s="142"/>
      <c r="N59" s="142">
        <f>SUM(N15:N58)</f>
        <v>461023913.46926564</v>
      </c>
      <c r="O59" s="22">
        <f>SUM(O15:O58)</f>
        <v>-199488935.5</v>
      </c>
      <c r="P59" s="22">
        <f>SUM(P15:P58)</f>
        <v>-9871887.5</v>
      </c>
      <c r="Q59" s="22">
        <f>SUM(Q15:Q58)</f>
        <v>251663090.46926564</v>
      </c>
    </row>
    <row r="62" spans="2:17" ht="15.75" x14ac:dyDescent="0.25">
      <c r="B62" s="197" t="s">
        <v>335</v>
      </c>
    </row>
    <row r="64" spans="2:17" ht="46.5" customHeight="1" x14ac:dyDescent="0.2">
      <c r="B64" s="59" t="s">
        <v>112</v>
      </c>
      <c r="C64" s="60" t="s">
        <v>113</v>
      </c>
      <c r="D64" s="60" t="s">
        <v>310</v>
      </c>
      <c r="E64" s="60" t="s">
        <v>336</v>
      </c>
      <c r="F64" s="60" t="s">
        <v>323</v>
      </c>
      <c r="G64" s="61" t="s">
        <v>204</v>
      </c>
      <c r="H64" s="61" t="s">
        <v>325</v>
      </c>
      <c r="I64" s="61" t="s">
        <v>326</v>
      </c>
      <c r="J64" s="61" t="s">
        <v>327</v>
      </c>
      <c r="K64" s="61" t="s">
        <v>328</v>
      </c>
      <c r="L64" s="60" t="s">
        <v>329</v>
      </c>
      <c r="M64" s="60" t="s">
        <v>330</v>
      </c>
      <c r="N64" s="61" t="s">
        <v>331</v>
      </c>
      <c r="O64" s="61" t="s">
        <v>337</v>
      </c>
      <c r="P64" s="40" t="s">
        <v>333</v>
      </c>
    </row>
    <row r="65" spans="2:17" x14ac:dyDescent="0.2">
      <c r="B65" s="70"/>
      <c r="C65" s="62"/>
      <c r="D65" s="62"/>
      <c r="E65" s="62"/>
      <c r="F65" s="62" t="s">
        <v>334</v>
      </c>
      <c r="G65" s="62" t="s">
        <v>115</v>
      </c>
      <c r="H65" s="62" t="s">
        <v>115</v>
      </c>
      <c r="I65" s="62" t="s">
        <v>115</v>
      </c>
      <c r="J65" s="62" t="s">
        <v>115</v>
      </c>
      <c r="K65" s="62" t="s">
        <v>115</v>
      </c>
      <c r="L65" s="62"/>
      <c r="M65" s="62" t="s">
        <v>115</v>
      </c>
      <c r="N65" s="62" t="s">
        <v>115</v>
      </c>
      <c r="O65" s="62" t="s">
        <v>115</v>
      </c>
      <c r="P65" s="62" t="s">
        <v>115</v>
      </c>
    </row>
    <row r="66" spans="2:17" x14ac:dyDescent="0.2">
      <c r="B66" s="311" t="s">
        <v>765</v>
      </c>
      <c r="C66" s="83" t="s">
        <v>719</v>
      </c>
      <c r="D66" s="83" t="s">
        <v>236</v>
      </c>
      <c r="E66" s="84" t="s">
        <v>736</v>
      </c>
      <c r="F66" s="85" t="s">
        <v>737</v>
      </c>
      <c r="G66" s="86">
        <v>300415.79146401561</v>
      </c>
      <c r="H66" s="86">
        <v>0</v>
      </c>
      <c r="I66" s="86"/>
      <c r="J66" s="86"/>
      <c r="K66" s="24">
        <f>SUM(G66:J66)</f>
        <v>300415.79146401561</v>
      </c>
      <c r="L66" s="79">
        <v>1</v>
      </c>
      <c r="M66" s="96">
        <f>K66*L66</f>
        <v>300415.79146401561</v>
      </c>
      <c r="N66" s="86">
        <v>-52911.5</v>
      </c>
      <c r="O66" s="86">
        <v>-27377</v>
      </c>
      <c r="P66" s="21">
        <f>SUM(M66:O66)</f>
        <v>220127.29146401561</v>
      </c>
    </row>
    <row r="67" spans="2:17" x14ac:dyDescent="0.2">
      <c r="B67" s="311" t="s">
        <v>765</v>
      </c>
      <c r="C67" s="83" t="s">
        <v>721</v>
      </c>
      <c r="D67" s="83" t="s">
        <v>236</v>
      </c>
      <c r="E67" s="84" t="s">
        <v>736</v>
      </c>
      <c r="F67" s="85" t="s">
        <v>737</v>
      </c>
      <c r="G67" s="86">
        <v>706195.03144399973</v>
      </c>
      <c r="H67" s="86">
        <v>18046.904267999998</v>
      </c>
      <c r="I67" s="86"/>
      <c r="J67" s="86"/>
      <c r="K67" s="24">
        <f t="shared" ref="K67:K83" si="4">SUM(G67:J67)</f>
        <v>724241.93571199977</v>
      </c>
      <c r="L67" s="79">
        <v>1</v>
      </c>
      <c r="M67" s="96">
        <f t="shared" ref="M67:M83" si="5">K67*L67</f>
        <v>724241.93571199977</v>
      </c>
      <c r="N67" s="86">
        <v>-537581</v>
      </c>
      <c r="O67" s="86">
        <v>-32621</v>
      </c>
      <c r="P67" s="21">
        <f t="shared" ref="P67:P82" si="6">SUM(M67:O67)</f>
        <v>154039.93571199977</v>
      </c>
    </row>
    <row r="68" spans="2:17" x14ac:dyDescent="0.2">
      <c r="B68" s="311" t="s">
        <v>765</v>
      </c>
      <c r="C68" s="83" t="s">
        <v>722</v>
      </c>
      <c r="D68" s="83" t="s">
        <v>236</v>
      </c>
      <c r="E68" s="84" t="s">
        <v>736</v>
      </c>
      <c r="F68" s="85" t="s">
        <v>737</v>
      </c>
      <c r="G68" s="86">
        <v>3019776.7975371433</v>
      </c>
      <c r="H68" s="86">
        <v>142622.68536927813</v>
      </c>
      <c r="I68" s="86"/>
      <c r="J68" s="86"/>
      <c r="K68" s="24">
        <f t="shared" si="4"/>
        <v>3162399.4829064216</v>
      </c>
      <c r="L68" s="79">
        <v>1</v>
      </c>
      <c r="M68" s="96">
        <f t="shared" si="5"/>
        <v>3162399.4829064216</v>
      </c>
      <c r="N68" s="86">
        <v>-1972021.5</v>
      </c>
      <c r="O68" s="86">
        <v>-235951</v>
      </c>
      <c r="P68" s="21">
        <f t="shared" si="6"/>
        <v>954426.98290642165</v>
      </c>
    </row>
    <row r="69" spans="2:17" x14ac:dyDescent="0.2">
      <c r="B69" s="311" t="s">
        <v>765</v>
      </c>
      <c r="C69" s="83" t="s">
        <v>723</v>
      </c>
      <c r="D69" s="83" t="s">
        <v>236</v>
      </c>
      <c r="E69" s="84" t="s">
        <v>736</v>
      </c>
      <c r="F69" s="85" t="s">
        <v>737</v>
      </c>
      <c r="G69" s="86">
        <v>1423253.5243460003</v>
      </c>
      <c r="H69" s="86">
        <v>0.37832299464935204</v>
      </c>
      <c r="I69" s="86"/>
      <c r="J69" s="86"/>
      <c r="K69" s="24">
        <f t="shared" si="4"/>
        <v>1423253.9026689949</v>
      </c>
      <c r="L69" s="79">
        <v>1</v>
      </c>
      <c r="M69" s="96">
        <f t="shared" si="5"/>
        <v>1423253.9026689949</v>
      </c>
      <c r="N69" s="86">
        <v>-926451</v>
      </c>
      <c r="O69" s="86">
        <v>-98470</v>
      </c>
      <c r="P69" s="21">
        <f t="shared" si="6"/>
        <v>398332.90266899485</v>
      </c>
    </row>
    <row r="70" spans="2:17" x14ac:dyDescent="0.2">
      <c r="B70" s="311" t="s">
        <v>765</v>
      </c>
      <c r="C70" s="83" t="s">
        <v>724</v>
      </c>
      <c r="D70" s="83" t="s">
        <v>236</v>
      </c>
      <c r="E70" s="84" t="s">
        <v>736</v>
      </c>
      <c r="F70" s="85" t="s">
        <v>737</v>
      </c>
      <c r="G70" s="86">
        <v>1412143.357936</v>
      </c>
      <c r="H70" s="86">
        <v>31331.725763999999</v>
      </c>
      <c r="I70" s="86"/>
      <c r="J70" s="86"/>
      <c r="K70" s="24">
        <f t="shared" si="4"/>
        <v>1443475.0837000001</v>
      </c>
      <c r="L70" s="79">
        <v>1</v>
      </c>
      <c r="M70" s="96">
        <f t="shared" si="5"/>
        <v>1443475.0837000001</v>
      </c>
      <c r="N70" s="86">
        <v>-695456</v>
      </c>
      <c r="O70" s="86">
        <v>-113585</v>
      </c>
      <c r="P70" s="21">
        <f t="shared" si="6"/>
        <v>634434.08370000008</v>
      </c>
    </row>
    <row r="71" spans="2:17" x14ac:dyDescent="0.2">
      <c r="B71" s="311" t="s">
        <v>765</v>
      </c>
      <c r="C71" s="83" t="s">
        <v>725</v>
      </c>
      <c r="D71" s="83" t="s">
        <v>236</v>
      </c>
      <c r="E71" s="84" t="s">
        <v>736</v>
      </c>
      <c r="F71" s="85" t="s">
        <v>737</v>
      </c>
      <c r="G71" s="86">
        <v>675444.81181971426</v>
      </c>
      <c r="H71" s="86">
        <v>52410.47089199999</v>
      </c>
      <c r="I71" s="86"/>
      <c r="J71" s="86"/>
      <c r="K71" s="24">
        <f t="shared" si="4"/>
        <v>727855.28271171427</v>
      </c>
      <c r="L71" s="79">
        <v>1</v>
      </c>
      <c r="M71" s="96">
        <f t="shared" si="5"/>
        <v>727855.28271171427</v>
      </c>
      <c r="N71" s="86">
        <v>-352603</v>
      </c>
      <c r="O71" s="86">
        <v>-48006.5</v>
      </c>
      <c r="P71" s="21">
        <f t="shared" si="6"/>
        <v>327245.78271171427</v>
      </c>
    </row>
    <row r="72" spans="2:17" x14ac:dyDescent="0.2">
      <c r="B72" s="311" t="s">
        <v>765</v>
      </c>
      <c r="C72" s="83" t="s">
        <v>714</v>
      </c>
      <c r="D72" s="83" t="s">
        <v>468</v>
      </c>
      <c r="E72" s="84" t="s">
        <v>715</v>
      </c>
      <c r="F72" s="85" t="s">
        <v>738</v>
      </c>
      <c r="G72" s="86">
        <v>37149051.275793001</v>
      </c>
      <c r="H72" s="86">
        <v>0</v>
      </c>
      <c r="I72" s="86"/>
      <c r="J72" s="86"/>
      <c r="K72" s="24">
        <f t="shared" si="4"/>
        <v>37149051.275793001</v>
      </c>
      <c r="L72" s="79">
        <v>1</v>
      </c>
      <c r="M72" s="96">
        <f t="shared" si="5"/>
        <v>37149051.275793001</v>
      </c>
      <c r="N72" s="86">
        <v>-15216768</v>
      </c>
      <c r="O72" s="86">
        <v>-742981</v>
      </c>
      <c r="P72" s="21">
        <f t="shared" si="6"/>
        <v>21189302.275793001</v>
      </c>
      <c r="Q72" s="332">
        <f>G72+N72</f>
        <v>21932283.275793001</v>
      </c>
    </row>
    <row r="73" spans="2:17" x14ac:dyDescent="0.2">
      <c r="B73" s="311" t="s">
        <v>765</v>
      </c>
      <c r="C73" s="83" t="s">
        <v>716</v>
      </c>
      <c r="D73" s="83" t="s">
        <v>468</v>
      </c>
      <c r="E73" s="84" t="s">
        <v>739</v>
      </c>
      <c r="F73" s="85" t="s">
        <v>718</v>
      </c>
      <c r="G73" s="86">
        <v>461300.40319999983</v>
      </c>
      <c r="H73" s="86">
        <v>1051815.1055999999</v>
      </c>
      <c r="I73" s="86"/>
      <c r="J73" s="86"/>
      <c r="K73" s="24">
        <f t="shared" si="4"/>
        <v>1513115.5087999997</v>
      </c>
      <c r="L73" s="79">
        <v>1</v>
      </c>
      <c r="M73" s="96">
        <f t="shared" si="5"/>
        <v>1513115.5087999997</v>
      </c>
      <c r="N73" s="86">
        <v>0</v>
      </c>
      <c r="O73" s="86"/>
      <c r="P73" s="21">
        <f t="shared" si="6"/>
        <v>1513115.5087999997</v>
      </c>
      <c r="Q73" s="332">
        <f t="shared" ref="Q73:Q74" si="7">G73+N73</f>
        <v>461300.40319999983</v>
      </c>
    </row>
    <row r="74" spans="2:17" x14ac:dyDescent="0.2">
      <c r="B74" s="311" t="s">
        <v>765</v>
      </c>
      <c r="C74" s="83" t="s">
        <v>713</v>
      </c>
      <c r="D74" s="83" t="s">
        <v>468</v>
      </c>
      <c r="E74" s="84" t="s">
        <v>736</v>
      </c>
      <c r="F74" s="85">
        <v>10</v>
      </c>
      <c r="G74" s="86">
        <v>2442944.685357301</v>
      </c>
      <c r="H74" s="86">
        <v>213734.17971899998</v>
      </c>
      <c r="I74" s="86"/>
      <c r="J74" s="86"/>
      <c r="K74" s="24">
        <f t="shared" si="4"/>
        <v>2656678.8650763012</v>
      </c>
      <c r="L74" s="79">
        <v>1</v>
      </c>
      <c r="M74" s="96">
        <f t="shared" si="5"/>
        <v>2656678.8650763012</v>
      </c>
      <c r="N74" s="86">
        <v>-1806046.5</v>
      </c>
      <c r="O74" s="86">
        <v>-114043.5</v>
      </c>
      <c r="P74" s="21">
        <f t="shared" si="6"/>
        <v>736588.86507630115</v>
      </c>
      <c r="Q74" s="332">
        <f t="shared" si="7"/>
        <v>636898.18535730103</v>
      </c>
    </row>
    <row r="75" spans="2:17" x14ac:dyDescent="0.2">
      <c r="B75" s="311" t="s">
        <v>765</v>
      </c>
      <c r="C75" s="83" t="s">
        <v>733</v>
      </c>
      <c r="D75" s="83" t="s">
        <v>238</v>
      </c>
      <c r="E75" s="84" t="s">
        <v>740</v>
      </c>
      <c r="F75" s="85">
        <v>15</v>
      </c>
      <c r="G75" s="86">
        <v>4794695.5839</v>
      </c>
      <c r="H75" s="86">
        <v>40548.238499999999</v>
      </c>
      <c r="I75" s="86"/>
      <c r="J75" s="86"/>
      <c r="K75" s="24">
        <f t="shared" si="4"/>
        <v>4835243.8223999999</v>
      </c>
      <c r="L75" s="79">
        <v>1</v>
      </c>
      <c r="M75" s="96">
        <f t="shared" si="5"/>
        <v>4835243.8223999999</v>
      </c>
      <c r="N75" s="86">
        <v>-1994635.7193</v>
      </c>
      <c r="O75" s="86">
        <v>-346921.45649999997</v>
      </c>
      <c r="P75" s="21">
        <f t="shared" si="6"/>
        <v>2493686.6466000001</v>
      </c>
      <c r="Q75" s="333" t="s">
        <v>29</v>
      </c>
    </row>
    <row r="76" spans="2:17" x14ac:dyDescent="0.2">
      <c r="B76" s="161"/>
      <c r="C76" s="83"/>
      <c r="D76" s="83"/>
      <c r="E76" s="84"/>
      <c r="F76" s="85"/>
      <c r="G76" s="86"/>
      <c r="H76" s="86"/>
      <c r="I76" s="86"/>
      <c r="J76" s="86"/>
      <c r="K76" s="24">
        <f t="shared" si="4"/>
        <v>0</v>
      </c>
      <c r="L76" s="79">
        <v>1</v>
      </c>
      <c r="M76" s="96">
        <f t="shared" si="5"/>
        <v>0</v>
      </c>
      <c r="N76" s="86"/>
      <c r="O76" s="86"/>
      <c r="P76" s="21">
        <f t="shared" si="6"/>
        <v>0</v>
      </c>
    </row>
    <row r="77" spans="2:17" x14ac:dyDescent="0.2">
      <c r="B77" s="161"/>
      <c r="C77" s="83"/>
      <c r="D77" s="83"/>
      <c r="E77" s="84"/>
      <c r="F77" s="85"/>
      <c r="G77" s="86"/>
      <c r="H77" s="86"/>
      <c r="I77" s="86"/>
      <c r="J77" s="86"/>
      <c r="K77" s="24">
        <f t="shared" si="4"/>
        <v>0</v>
      </c>
      <c r="L77" s="79">
        <v>1</v>
      </c>
      <c r="M77" s="96">
        <f t="shared" si="5"/>
        <v>0</v>
      </c>
      <c r="N77" s="86"/>
      <c r="O77" s="86"/>
      <c r="P77" s="21">
        <f t="shared" si="6"/>
        <v>0</v>
      </c>
    </row>
    <row r="78" spans="2:17" x14ac:dyDescent="0.2">
      <c r="B78" s="161"/>
      <c r="C78" s="83"/>
      <c r="D78" s="83"/>
      <c r="E78" s="84"/>
      <c r="F78" s="85"/>
      <c r="G78" s="86"/>
      <c r="H78" s="86"/>
      <c r="I78" s="86"/>
      <c r="J78" s="86"/>
      <c r="K78" s="24">
        <f t="shared" si="4"/>
        <v>0</v>
      </c>
      <c r="L78" s="79">
        <v>1</v>
      </c>
      <c r="M78" s="96">
        <f t="shared" si="5"/>
        <v>0</v>
      </c>
      <c r="N78" s="86"/>
      <c r="O78" s="86"/>
      <c r="P78" s="21">
        <f t="shared" si="6"/>
        <v>0</v>
      </c>
    </row>
    <row r="79" spans="2:17" x14ac:dyDescent="0.2">
      <c r="B79" s="161"/>
      <c r="C79" s="83"/>
      <c r="D79" s="83"/>
      <c r="E79" s="84"/>
      <c r="F79" s="85"/>
      <c r="G79" s="86"/>
      <c r="H79" s="86"/>
      <c r="I79" s="86"/>
      <c r="J79" s="86"/>
      <c r="K79" s="24">
        <f t="shared" si="4"/>
        <v>0</v>
      </c>
      <c r="L79" s="79">
        <v>1</v>
      </c>
      <c r="M79" s="96">
        <f t="shared" si="5"/>
        <v>0</v>
      </c>
      <c r="N79" s="86"/>
      <c r="O79" s="86"/>
      <c r="P79" s="21">
        <f t="shared" si="6"/>
        <v>0</v>
      </c>
    </row>
    <row r="80" spans="2:17" x14ac:dyDescent="0.2">
      <c r="B80" s="161"/>
      <c r="C80" s="83"/>
      <c r="D80" s="83"/>
      <c r="E80" s="84"/>
      <c r="F80" s="85"/>
      <c r="G80" s="86"/>
      <c r="H80" s="86"/>
      <c r="I80" s="86"/>
      <c r="J80" s="86"/>
      <c r="K80" s="24">
        <f t="shared" si="4"/>
        <v>0</v>
      </c>
      <c r="L80" s="79">
        <v>1</v>
      </c>
      <c r="M80" s="96">
        <f t="shared" si="5"/>
        <v>0</v>
      </c>
      <c r="N80" s="86"/>
      <c r="O80" s="86"/>
      <c r="P80" s="21">
        <f t="shared" si="6"/>
        <v>0</v>
      </c>
    </row>
    <row r="81" spans="2:17" x14ac:dyDescent="0.2">
      <c r="B81" s="161"/>
      <c r="C81" s="83"/>
      <c r="D81" s="83"/>
      <c r="E81" s="84"/>
      <c r="F81" s="85"/>
      <c r="G81" s="86"/>
      <c r="H81" s="86"/>
      <c r="I81" s="86"/>
      <c r="J81" s="86"/>
      <c r="K81" s="24">
        <f t="shared" si="4"/>
        <v>0</v>
      </c>
      <c r="L81" s="79">
        <v>1</v>
      </c>
      <c r="M81" s="96">
        <f t="shared" si="5"/>
        <v>0</v>
      </c>
      <c r="N81" s="86"/>
      <c r="O81" s="86"/>
      <c r="P81" s="21">
        <f t="shared" si="6"/>
        <v>0</v>
      </c>
    </row>
    <row r="82" spans="2:17" x14ac:dyDescent="0.2">
      <c r="B82" s="161"/>
      <c r="C82" s="83"/>
      <c r="D82" s="83"/>
      <c r="E82" s="84"/>
      <c r="F82" s="85"/>
      <c r="G82" s="86"/>
      <c r="H82" s="86"/>
      <c r="I82" s="86"/>
      <c r="J82" s="86"/>
      <c r="K82" s="24">
        <f t="shared" si="4"/>
        <v>0</v>
      </c>
      <c r="L82" s="79">
        <v>1</v>
      </c>
      <c r="M82" s="96">
        <f t="shared" si="5"/>
        <v>0</v>
      </c>
      <c r="N82" s="86"/>
      <c r="O82" s="86"/>
      <c r="P82" s="21">
        <f t="shared" si="6"/>
        <v>0</v>
      </c>
    </row>
    <row r="83" spans="2:17" x14ac:dyDescent="0.2">
      <c r="B83" s="161"/>
      <c r="C83" s="83"/>
      <c r="D83" s="83"/>
      <c r="E83" s="84"/>
      <c r="F83" s="85"/>
      <c r="G83" s="86"/>
      <c r="H83" s="86"/>
      <c r="I83" s="86"/>
      <c r="J83" s="86"/>
      <c r="K83" s="24">
        <f t="shared" si="4"/>
        <v>0</v>
      </c>
      <c r="L83" s="79">
        <v>1</v>
      </c>
      <c r="M83" s="96">
        <f t="shared" si="5"/>
        <v>0</v>
      </c>
      <c r="N83" s="86"/>
      <c r="O83" s="86"/>
      <c r="P83" s="21">
        <f>SUM(M83:O83)</f>
        <v>0</v>
      </c>
    </row>
    <row r="84" spans="2:17" x14ac:dyDescent="0.2">
      <c r="B84" s="274"/>
      <c r="C84" s="25" t="s">
        <v>338</v>
      </c>
      <c r="D84" s="25"/>
      <c r="E84" s="28"/>
      <c r="F84" s="28"/>
      <c r="G84" s="22">
        <f>SUM(G66:G83)</f>
        <v>52385221.262797177</v>
      </c>
      <c r="H84" s="22">
        <f>SUM(H66:H83)</f>
        <v>1550509.6884352725</v>
      </c>
      <c r="I84" s="22">
        <f>SUM(I66:I83)</f>
        <v>0</v>
      </c>
      <c r="J84" s="22">
        <f>SUM(J66:J83)</f>
        <v>0</v>
      </c>
      <c r="K84" s="22">
        <f>SUM(K66:K83)</f>
        <v>53935730.951232448</v>
      </c>
      <c r="L84" s="142"/>
      <c r="M84" s="142">
        <f>SUM(M66:M83)</f>
        <v>53935730.951232448</v>
      </c>
      <c r="N84" s="22">
        <f>SUM(N66:N83)</f>
        <v>-23554474.219300002</v>
      </c>
      <c r="O84" s="22">
        <f>SUM(O66:O83)</f>
        <v>-1759956.4564999999</v>
      </c>
      <c r="P84" s="22">
        <f>SUM(P66:P83)</f>
        <v>28621300.275432449</v>
      </c>
      <c r="Q84" s="332">
        <f>SUM(Q72:Q74)</f>
        <v>23030481.864350304</v>
      </c>
    </row>
  </sheetData>
  <sheetProtection algorithmName="SHA-512" hashValue="KYg+qIIMOmo3CQ86llwHjL+MTA9csL2box6J9beGokqSphnI1CM/OUSmelpWGP60mgXje2UyiFATA7iATeZWjQ==" saltValue="ZwRjCfKCGLCOfNiP35Ucpw==" spinCount="100000" sheet="1" objects="1" scenarios="1"/>
  <mergeCells count="1">
    <mergeCell ref="B6:E8"/>
  </mergeCells>
  <phoneticPr fontId="29" type="noConversion"/>
  <dataValidations count="2">
    <dataValidation type="list" allowBlank="1" showInputMessage="1" showErrorMessage="1" sqref="G8:G9 D15:D58" xr:uid="{00000000-0002-0000-1000-000000000000}">
      <formula1>rPipelineAssets</formula1>
    </dataValidation>
    <dataValidation type="list" allowBlank="1" showInputMessage="1" showErrorMessage="1" sqref="D66:D83" xr:uid="{00000000-0002-0000-1000-000001000000}">
      <formula1>rSharedAssets</formula1>
    </dataValidation>
  </dataValidations>
  <pageMargins left="0.75" right="0.75" top="1" bottom="1" header="0.5" footer="0.5"/>
  <pageSetup paperSize="9" scale="32"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17415D"/>
    <pageSetUpPr fitToPage="1"/>
  </sheetPr>
  <dimension ref="B1:I47"/>
  <sheetViews>
    <sheetView workbookViewId="0"/>
  </sheetViews>
  <sheetFormatPr defaultColWidth="9.140625" defaultRowHeight="12.75" x14ac:dyDescent="0.2"/>
  <cols>
    <col min="1" max="1" width="12.140625" style="205" customWidth="1"/>
    <col min="2" max="2" width="22.42578125" style="205" customWidth="1"/>
    <col min="3" max="3" width="42.140625" style="205" customWidth="1"/>
    <col min="4" max="4" width="28.85546875" style="205" customWidth="1"/>
    <col min="5" max="5" width="22.5703125" style="205" customWidth="1"/>
    <col min="6" max="6" width="20.5703125" style="205" customWidth="1"/>
    <col min="7" max="7" width="22.5703125" style="205" customWidth="1"/>
    <col min="8" max="8" width="37.42578125" style="205" customWidth="1"/>
    <col min="9" max="9" width="25.140625" style="205" customWidth="1"/>
    <col min="10" max="16384" width="9.140625" style="205"/>
  </cols>
  <sheetData>
    <row r="1" spans="2:9" ht="20.25" customHeight="1" x14ac:dyDescent="0.3">
      <c r="B1" s="136" t="s">
        <v>53</v>
      </c>
      <c r="C1" s="136"/>
      <c r="D1" s="204"/>
      <c r="E1" s="204"/>
      <c r="F1" s="204"/>
      <c r="G1" s="204"/>
    </row>
    <row r="2" spans="2:9" ht="20.25" customHeight="1" x14ac:dyDescent="0.3">
      <c r="B2" s="136" t="str">
        <f>IF(Tradingname=0," ",Tradingname)</f>
        <v>SEA Gas Partnership</v>
      </c>
      <c r="C2" s="136"/>
      <c r="D2" s="206"/>
    </row>
    <row r="3" spans="2:9" ht="20.25" customHeight="1" x14ac:dyDescent="0.3">
      <c r="B3" s="136" t="s">
        <v>30</v>
      </c>
      <c r="C3" s="105">
        <f>IF(Yearending=0, "01/01/2000", Yearending)</f>
        <v>45838</v>
      </c>
    </row>
    <row r="4" spans="2:9" ht="20.25" x14ac:dyDescent="0.2">
      <c r="B4" s="97" t="s">
        <v>339</v>
      </c>
      <c r="C4" s="97"/>
    </row>
    <row r="6" spans="2:9" x14ac:dyDescent="0.2">
      <c r="B6" s="404" t="s">
        <v>340</v>
      </c>
      <c r="C6" s="404"/>
      <c r="D6" s="404"/>
    </row>
    <row r="7" spans="2:9" ht="15.75" customHeight="1" x14ac:dyDescent="0.2">
      <c r="B7" s="404"/>
      <c r="C7" s="404"/>
      <c r="D7" s="404"/>
    </row>
    <row r="8" spans="2:9" ht="15.75" customHeight="1" x14ac:dyDescent="0.2">
      <c r="B8" s="404"/>
      <c r="C8" s="404"/>
      <c r="D8" s="404"/>
    </row>
    <row r="11" spans="2:9" ht="15.75" x14ac:dyDescent="0.25">
      <c r="B11" s="207" t="s">
        <v>341</v>
      </c>
      <c r="C11" s="208"/>
      <c r="D11" s="208"/>
      <c r="E11" s="208"/>
      <c r="F11" s="211"/>
      <c r="G11" s="208"/>
    </row>
    <row r="12" spans="2:9" ht="15.75" x14ac:dyDescent="0.25">
      <c r="B12" s="207"/>
      <c r="C12" s="208"/>
      <c r="D12" s="208"/>
      <c r="E12" s="208"/>
      <c r="F12" s="211"/>
      <c r="G12" s="208"/>
    </row>
    <row r="13" spans="2:9" ht="25.5" x14ac:dyDescent="0.2">
      <c r="B13" s="46" t="s">
        <v>112</v>
      </c>
      <c r="C13" s="46" t="s">
        <v>342</v>
      </c>
      <c r="D13" s="46" t="s">
        <v>343</v>
      </c>
      <c r="E13" s="58" t="s">
        <v>344</v>
      </c>
      <c r="F13" s="58" t="s">
        <v>187</v>
      </c>
      <c r="G13" s="58" t="s">
        <v>345</v>
      </c>
    </row>
    <row r="14" spans="2:9" x14ac:dyDescent="0.2">
      <c r="B14" s="48"/>
      <c r="C14" s="48"/>
      <c r="D14" s="51"/>
      <c r="E14" s="62" t="s">
        <v>115</v>
      </c>
      <c r="F14" s="62"/>
      <c r="G14" s="62" t="s">
        <v>115</v>
      </c>
    </row>
    <row r="15" spans="2:9" x14ac:dyDescent="0.2">
      <c r="B15" s="289"/>
      <c r="C15" s="77"/>
      <c r="D15" s="77"/>
      <c r="E15" s="78"/>
      <c r="F15" s="79"/>
      <c r="G15" s="21">
        <f>E15*F15</f>
        <v>0</v>
      </c>
      <c r="H15" s="273"/>
    </row>
    <row r="16" spans="2:9" x14ac:dyDescent="0.2">
      <c r="B16" s="289"/>
      <c r="C16" s="77"/>
      <c r="D16" s="77"/>
      <c r="E16" s="78"/>
      <c r="F16" s="79"/>
      <c r="G16" s="21">
        <f t="shared" ref="G16:G45" si="0">E16*F16</f>
        <v>0</v>
      </c>
      <c r="H16" s="276"/>
      <c r="I16" s="276"/>
    </row>
    <row r="17" spans="2:9" x14ac:dyDescent="0.2">
      <c r="B17" s="289"/>
      <c r="C17" s="77"/>
      <c r="D17" s="77"/>
      <c r="E17" s="78"/>
      <c r="F17" s="79"/>
      <c r="G17" s="21">
        <f t="shared" si="0"/>
        <v>0</v>
      </c>
      <c r="H17" s="277"/>
      <c r="I17" s="277"/>
    </row>
    <row r="18" spans="2:9" x14ac:dyDescent="0.2">
      <c r="B18" s="289"/>
      <c r="C18" s="77"/>
      <c r="D18" s="77"/>
      <c r="E18" s="78"/>
      <c r="F18" s="79"/>
      <c r="G18" s="21">
        <f t="shared" si="0"/>
        <v>0</v>
      </c>
      <c r="H18" s="277"/>
      <c r="I18" s="277"/>
    </row>
    <row r="19" spans="2:9" x14ac:dyDescent="0.2">
      <c r="B19" s="289"/>
      <c r="C19" s="77"/>
      <c r="D19" s="77"/>
      <c r="E19" s="78"/>
      <c r="F19" s="79"/>
      <c r="G19" s="21">
        <f t="shared" si="0"/>
        <v>0</v>
      </c>
      <c r="H19" s="276"/>
      <c r="I19" s="276"/>
    </row>
    <row r="20" spans="2:9" x14ac:dyDescent="0.2">
      <c r="B20" s="289"/>
      <c r="C20" s="77"/>
      <c r="D20" s="77"/>
      <c r="E20" s="78"/>
      <c r="F20" s="79"/>
      <c r="G20" s="21">
        <f t="shared" si="0"/>
        <v>0</v>
      </c>
      <c r="H20" s="277"/>
      <c r="I20" s="277"/>
    </row>
    <row r="21" spans="2:9" x14ac:dyDescent="0.2">
      <c r="B21" s="289"/>
      <c r="C21" s="77"/>
      <c r="D21" s="77"/>
      <c r="E21" s="78"/>
      <c r="F21" s="79"/>
      <c r="G21" s="21">
        <f t="shared" si="0"/>
        <v>0</v>
      </c>
    </row>
    <row r="22" spans="2:9" x14ac:dyDescent="0.2">
      <c r="B22" s="289"/>
      <c r="C22" s="77"/>
      <c r="D22" s="77"/>
      <c r="E22" s="78"/>
      <c r="F22" s="79"/>
      <c r="G22" s="21">
        <f t="shared" si="0"/>
        <v>0</v>
      </c>
    </row>
    <row r="23" spans="2:9" x14ac:dyDescent="0.2">
      <c r="B23" s="289"/>
      <c r="C23" s="77"/>
      <c r="D23" s="77"/>
      <c r="E23" s="78"/>
      <c r="F23" s="79"/>
      <c r="G23" s="21">
        <f t="shared" si="0"/>
        <v>0</v>
      </c>
    </row>
    <row r="24" spans="2:9" x14ac:dyDescent="0.2">
      <c r="B24" s="289"/>
      <c r="C24" s="77"/>
      <c r="D24" s="77"/>
      <c r="E24" s="78"/>
      <c r="F24" s="79"/>
      <c r="G24" s="21">
        <f t="shared" si="0"/>
        <v>0</v>
      </c>
    </row>
    <row r="25" spans="2:9" x14ac:dyDescent="0.2">
      <c r="B25" s="289"/>
      <c r="C25" s="77"/>
      <c r="D25" s="77"/>
      <c r="E25" s="78"/>
      <c r="F25" s="79"/>
      <c r="G25" s="21">
        <f t="shared" si="0"/>
        <v>0</v>
      </c>
    </row>
    <row r="26" spans="2:9" x14ac:dyDescent="0.2">
      <c r="B26" s="289"/>
      <c r="C26" s="77"/>
      <c r="D26" s="77"/>
      <c r="E26" s="78"/>
      <c r="F26" s="79"/>
      <c r="G26" s="21">
        <f t="shared" si="0"/>
        <v>0</v>
      </c>
    </row>
    <row r="27" spans="2:9" x14ac:dyDescent="0.2">
      <c r="B27" s="289"/>
      <c r="C27" s="77"/>
      <c r="D27" s="77"/>
      <c r="E27" s="78"/>
      <c r="F27" s="79"/>
      <c r="G27" s="21">
        <f t="shared" si="0"/>
        <v>0</v>
      </c>
    </row>
    <row r="28" spans="2:9" x14ac:dyDescent="0.2">
      <c r="B28" s="289"/>
      <c r="C28" s="77"/>
      <c r="D28" s="77"/>
      <c r="E28" s="78"/>
      <c r="F28" s="79"/>
      <c r="G28" s="21">
        <f t="shared" si="0"/>
        <v>0</v>
      </c>
    </row>
    <row r="29" spans="2:9" x14ac:dyDescent="0.2">
      <c r="B29" s="289"/>
      <c r="C29" s="77"/>
      <c r="D29" s="77"/>
      <c r="E29" s="78"/>
      <c r="F29" s="79"/>
      <c r="G29" s="21">
        <f t="shared" si="0"/>
        <v>0</v>
      </c>
    </row>
    <row r="30" spans="2:9" x14ac:dyDescent="0.2">
      <c r="B30" s="289"/>
      <c r="C30" s="77"/>
      <c r="D30" s="77"/>
      <c r="E30" s="78"/>
      <c r="F30" s="79"/>
      <c r="G30" s="21">
        <f t="shared" si="0"/>
        <v>0</v>
      </c>
    </row>
    <row r="31" spans="2:9" x14ac:dyDescent="0.2">
      <c r="B31" s="289"/>
      <c r="C31" s="77"/>
      <c r="D31" s="77"/>
      <c r="E31" s="78"/>
      <c r="F31" s="79"/>
      <c r="G31" s="21">
        <f t="shared" si="0"/>
        <v>0</v>
      </c>
    </row>
    <row r="32" spans="2:9" x14ac:dyDescent="0.2">
      <c r="B32" s="289"/>
      <c r="C32" s="77"/>
      <c r="D32" s="77"/>
      <c r="E32" s="78"/>
      <c r="F32" s="79"/>
      <c r="G32" s="21">
        <f t="shared" si="0"/>
        <v>0</v>
      </c>
    </row>
    <row r="33" spans="2:9" x14ac:dyDescent="0.2">
      <c r="B33" s="289"/>
      <c r="C33" s="77"/>
      <c r="D33" s="77"/>
      <c r="E33" s="78"/>
      <c r="F33" s="79"/>
      <c r="G33" s="21">
        <f t="shared" si="0"/>
        <v>0</v>
      </c>
    </row>
    <row r="34" spans="2:9" x14ac:dyDescent="0.2">
      <c r="B34" s="289"/>
      <c r="C34" s="77"/>
      <c r="D34" s="77"/>
      <c r="E34" s="78"/>
      <c r="F34" s="79"/>
      <c r="G34" s="21">
        <f t="shared" si="0"/>
        <v>0</v>
      </c>
    </row>
    <row r="35" spans="2:9" x14ac:dyDescent="0.2">
      <c r="B35" s="289"/>
      <c r="C35" s="77"/>
      <c r="D35" s="77"/>
      <c r="E35" s="78"/>
      <c r="F35" s="79"/>
      <c r="G35" s="21">
        <f t="shared" si="0"/>
        <v>0</v>
      </c>
      <c r="I35" s="278"/>
    </row>
    <row r="36" spans="2:9" x14ac:dyDescent="0.2">
      <c r="B36" s="289"/>
      <c r="C36" s="77"/>
      <c r="D36" s="77"/>
      <c r="E36" s="78"/>
      <c r="F36" s="79"/>
      <c r="G36" s="21">
        <f t="shared" si="0"/>
        <v>0</v>
      </c>
      <c r="I36" s="278"/>
    </row>
    <row r="37" spans="2:9" x14ac:dyDescent="0.2">
      <c r="B37" s="289"/>
      <c r="C37" s="77"/>
      <c r="D37" s="77"/>
      <c r="E37" s="78"/>
      <c r="F37" s="79"/>
      <c r="G37" s="21">
        <f t="shared" si="0"/>
        <v>0</v>
      </c>
      <c r="H37" s="278"/>
      <c r="I37" s="278"/>
    </row>
    <row r="38" spans="2:9" x14ac:dyDescent="0.2">
      <c r="B38" s="289"/>
      <c r="C38" s="77"/>
      <c r="D38" s="77"/>
      <c r="E38" s="78"/>
      <c r="F38" s="79"/>
      <c r="G38" s="21">
        <f t="shared" si="0"/>
        <v>0</v>
      </c>
      <c r="H38" s="278"/>
      <c r="I38" s="278"/>
    </row>
    <row r="39" spans="2:9" x14ac:dyDescent="0.2">
      <c r="B39" s="289"/>
      <c r="C39" s="77"/>
      <c r="D39" s="77"/>
      <c r="E39" s="78"/>
      <c r="F39" s="79"/>
      <c r="G39" s="21">
        <f t="shared" si="0"/>
        <v>0</v>
      </c>
      <c r="H39" s="278"/>
      <c r="I39" s="278"/>
    </row>
    <row r="40" spans="2:9" x14ac:dyDescent="0.2">
      <c r="B40" s="289"/>
      <c r="C40" s="77"/>
      <c r="D40" s="77"/>
      <c r="E40" s="78"/>
      <c r="F40" s="79"/>
      <c r="G40" s="21">
        <f t="shared" si="0"/>
        <v>0</v>
      </c>
      <c r="H40" s="278"/>
      <c r="I40" s="278"/>
    </row>
    <row r="41" spans="2:9" x14ac:dyDescent="0.2">
      <c r="B41" s="289"/>
      <c r="C41" s="77"/>
      <c r="D41" s="77"/>
      <c r="E41" s="78"/>
      <c r="F41" s="79"/>
      <c r="G41" s="21">
        <f t="shared" si="0"/>
        <v>0</v>
      </c>
      <c r="H41" s="278"/>
    </row>
    <row r="42" spans="2:9" x14ac:dyDescent="0.2">
      <c r="B42" s="289"/>
      <c r="C42" s="77"/>
      <c r="D42" s="77"/>
      <c r="E42" s="78"/>
      <c r="F42" s="79"/>
      <c r="G42" s="21">
        <f t="shared" si="0"/>
        <v>0</v>
      </c>
      <c r="H42" s="278"/>
    </row>
    <row r="43" spans="2:9" x14ac:dyDescent="0.2">
      <c r="B43" s="289"/>
      <c r="C43" s="77"/>
      <c r="D43" s="77"/>
      <c r="E43" s="78"/>
      <c r="F43" s="79"/>
      <c r="G43" s="21">
        <f t="shared" si="0"/>
        <v>0</v>
      </c>
    </row>
    <row r="44" spans="2:9" x14ac:dyDescent="0.2">
      <c r="B44" s="289"/>
      <c r="C44" s="77"/>
      <c r="D44" s="77"/>
      <c r="E44" s="78"/>
      <c r="F44" s="79"/>
      <c r="G44" s="21">
        <f t="shared" si="0"/>
        <v>0</v>
      </c>
    </row>
    <row r="45" spans="2:9" x14ac:dyDescent="0.2">
      <c r="B45" s="289"/>
      <c r="C45" s="77"/>
      <c r="D45" s="77"/>
      <c r="E45" s="78"/>
      <c r="F45" s="79"/>
      <c r="G45" s="21">
        <f t="shared" si="0"/>
        <v>0</v>
      </c>
    </row>
    <row r="46" spans="2:9" x14ac:dyDescent="0.2">
      <c r="B46" s="289"/>
      <c r="C46" s="77"/>
      <c r="D46" s="77"/>
      <c r="E46" s="78"/>
      <c r="F46" s="79"/>
      <c r="G46" s="21">
        <f>E46*F46</f>
        <v>0</v>
      </c>
    </row>
    <row r="47" spans="2:9" x14ac:dyDescent="0.2">
      <c r="B47" s="279" t="s">
        <v>56</v>
      </c>
      <c r="C47" s="411"/>
      <c r="D47" s="412"/>
      <c r="E47" s="21">
        <f>SUM(E15:E46)</f>
        <v>0</v>
      </c>
      <c r="F47" s="23"/>
      <c r="G47" s="21">
        <f>SUM(G15:G46)</f>
        <v>0</v>
      </c>
    </row>
  </sheetData>
  <sheetProtection algorithmName="SHA-512" hashValue="5+zg/4sgG5wLpygaFyNP7In81/2QtVi+frLz8g3H+F5ZAUj2kpmZDA+R0DAdt3ay8rb2LKyQ6J8elAO7o70qPg==" saltValue="6Vh6Nd9Qtr/ewWmt6K/JBQ==" spinCount="100000" sheet="1" objects="1" scenarios="1"/>
  <mergeCells count="2">
    <mergeCell ref="C47:D47"/>
    <mergeCell ref="B6:D8"/>
  </mergeCells>
  <dataValidations count="1">
    <dataValidation type="list" allowBlank="1" showInputMessage="1" showErrorMessage="1" sqref="D15:D46" xr:uid="{00000000-0002-0000-1100-000000000000}">
      <formula1>rSharedAssets</formula1>
    </dataValidation>
  </dataValidations>
  <pageMargins left="0.75" right="0.75" top="1" bottom="1" header="0.5" footer="0.5"/>
  <pageSetup paperSize="9" scale="63"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17415D"/>
  </sheetPr>
  <dimension ref="B1:BJ50"/>
  <sheetViews>
    <sheetView showGridLines="0" zoomScaleNormal="100" workbookViewId="0">
      <pane xSplit="1" ySplit="7" topLeftCell="B8" activePane="bottomRight" state="frozen"/>
      <selection activeCell="A35" sqref="A35"/>
      <selection pane="topRight" activeCell="A35" sqref="A35"/>
      <selection pane="bottomLeft" activeCell="A35" sqref="A35"/>
      <selection pane="bottomRight" activeCell="B8" sqref="B8"/>
    </sheetView>
  </sheetViews>
  <sheetFormatPr defaultColWidth="8.85546875" defaultRowHeight="12.75" x14ac:dyDescent="0.2"/>
  <cols>
    <col min="1" max="1" width="11.42578125" customWidth="1"/>
    <col min="2" max="2" width="23.85546875" customWidth="1"/>
    <col min="3" max="3" width="47.85546875" customWidth="1"/>
    <col min="4" max="4" width="50.5703125" customWidth="1"/>
    <col min="5" max="5" width="23.85546875" customWidth="1"/>
    <col min="6" max="9" width="13.85546875" customWidth="1"/>
    <col min="10" max="14" width="15.42578125" customWidth="1"/>
    <col min="15" max="27" width="12.42578125" customWidth="1"/>
    <col min="29" max="29" width="9.140625" customWidth="1"/>
    <col min="46" max="46" width="9.140625" customWidth="1"/>
    <col min="61" max="61" width="13.5703125" customWidth="1"/>
  </cols>
  <sheetData>
    <row r="1" spans="2:61" ht="20.25" customHeight="1" x14ac:dyDescent="0.2">
      <c r="B1" s="136" t="s">
        <v>53</v>
      </c>
      <c r="C1" s="136"/>
    </row>
    <row r="2" spans="2:61" ht="20.25" x14ac:dyDescent="0.2">
      <c r="B2" s="136" t="str">
        <f>IF(Tradingname=0," ",Tradingname)</f>
        <v>SEA Gas Partnership</v>
      </c>
      <c r="C2" s="136"/>
    </row>
    <row r="3" spans="2:61" ht="19.5" customHeight="1" x14ac:dyDescent="0.3">
      <c r="B3" s="136" t="s">
        <v>30</v>
      </c>
      <c r="C3" s="105">
        <f>IF(Yearending=0, "01/01/2000", Yearending)</f>
        <v>45838</v>
      </c>
    </row>
    <row r="4" spans="2:61" ht="20.25" x14ac:dyDescent="0.2">
      <c r="B4" s="97" t="s">
        <v>346</v>
      </c>
      <c r="C4" s="97"/>
    </row>
    <row r="6" spans="2:61" ht="15.75" customHeight="1" x14ac:dyDescent="0.2">
      <c r="B6" s="404" t="s">
        <v>347</v>
      </c>
      <c r="C6" s="404"/>
      <c r="D6" s="404"/>
    </row>
    <row r="7" spans="2:61" ht="15.75" customHeight="1" x14ac:dyDescent="0.2">
      <c r="B7" s="404"/>
      <c r="C7" s="404"/>
      <c r="D7" s="404"/>
    </row>
    <row r="9" spans="2:61" ht="15.75" x14ac:dyDescent="0.25">
      <c r="B9" s="197" t="s">
        <v>348</v>
      </c>
    </row>
    <row r="11" spans="2:61" ht="45" customHeight="1" x14ac:dyDescent="0.2">
      <c r="B11" s="59" t="s">
        <v>112</v>
      </c>
      <c r="C11" s="415" t="s">
        <v>309</v>
      </c>
      <c r="D11" s="416"/>
      <c r="E11" s="221" t="s">
        <v>56</v>
      </c>
      <c r="F11" s="413" t="s">
        <v>250</v>
      </c>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222" t="s">
        <v>349</v>
      </c>
    </row>
    <row r="12" spans="2:61" x14ac:dyDescent="0.2">
      <c r="B12" s="297"/>
      <c r="C12" s="62"/>
      <c r="D12" s="62"/>
      <c r="E12" s="62"/>
      <c r="F12" s="64" t="str">
        <f>RIGHT(TEXT(C43,"dd/mm/yyyy"),4)</f>
        <v>2004</v>
      </c>
      <c r="G12" s="65">
        <f>F12+1</f>
        <v>2005</v>
      </c>
      <c r="H12" s="65">
        <f t="shared" ref="H12:BG12" si="0">G12+1</f>
        <v>2006</v>
      </c>
      <c r="I12" s="65">
        <f t="shared" si="0"/>
        <v>2007</v>
      </c>
      <c r="J12" s="65">
        <f t="shared" si="0"/>
        <v>2008</v>
      </c>
      <c r="K12" s="65">
        <f t="shared" si="0"/>
        <v>2009</v>
      </c>
      <c r="L12" s="65">
        <f t="shared" si="0"/>
        <v>2010</v>
      </c>
      <c r="M12" s="65">
        <f t="shared" si="0"/>
        <v>2011</v>
      </c>
      <c r="N12" s="65">
        <f t="shared" si="0"/>
        <v>2012</v>
      </c>
      <c r="O12" s="65">
        <f t="shared" si="0"/>
        <v>2013</v>
      </c>
      <c r="P12" s="65">
        <f t="shared" si="0"/>
        <v>2014</v>
      </c>
      <c r="Q12" s="65">
        <f t="shared" si="0"/>
        <v>2015</v>
      </c>
      <c r="R12" s="65">
        <f t="shared" si="0"/>
        <v>2016</v>
      </c>
      <c r="S12" s="65">
        <f t="shared" si="0"/>
        <v>2017</v>
      </c>
      <c r="T12" s="65">
        <f t="shared" si="0"/>
        <v>2018</v>
      </c>
      <c r="U12" s="65">
        <f t="shared" si="0"/>
        <v>2019</v>
      </c>
      <c r="V12" s="65">
        <f t="shared" si="0"/>
        <v>2020</v>
      </c>
      <c r="W12" s="65">
        <f t="shared" si="0"/>
        <v>2021</v>
      </c>
      <c r="X12" s="65">
        <f t="shared" si="0"/>
        <v>2022</v>
      </c>
      <c r="Y12" s="65">
        <f t="shared" si="0"/>
        <v>2023</v>
      </c>
      <c r="Z12" s="65">
        <f t="shared" si="0"/>
        <v>2024</v>
      </c>
      <c r="AA12" s="65">
        <f t="shared" si="0"/>
        <v>2025</v>
      </c>
      <c r="AB12" s="65">
        <f t="shared" si="0"/>
        <v>2026</v>
      </c>
      <c r="AC12" s="65">
        <f t="shared" si="0"/>
        <v>2027</v>
      </c>
      <c r="AD12" s="65">
        <f t="shared" si="0"/>
        <v>2028</v>
      </c>
      <c r="AE12" s="65">
        <f t="shared" si="0"/>
        <v>2029</v>
      </c>
      <c r="AF12" s="65">
        <f t="shared" si="0"/>
        <v>2030</v>
      </c>
      <c r="AG12" s="65">
        <f t="shared" si="0"/>
        <v>2031</v>
      </c>
      <c r="AH12" s="65">
        <f t="shared" si="0"/>
        <v>2032</v>
      </c>
      <c r="AI12" s="65">
        <f t="shared" si="0"/>
        <v>2033</v>
      </c>
      <c r="AJ12" s="65">
        <f t="shared" si="0"/>
        <v>2034</v>
      </c>
      <c r="AK12" s="65">
        <f t="shared" si="0"/>
        <v>2035</v>
      </c>
      <c r="AL12" s="65">
        <f t="shared" si="0"/>
        <v>2036</v>
      </c>
      <c r="AM12" s="65">
        <f t="shared" si="0"/>
        <v>2037</v>
      </c>
      <c r="AN12" s="65">
        <f t="shared" si="0"/>
        <v>2038</v>
      </c>
      <c r="AO12" s="65">
        <f t="shared" si="0"/>
        <v>2039</v>
      </c>
      <c r="AP12" s="65">
        <f t="shared" si="0"/>
        <v>2040</v>
      </c>
      <c r="AQ12" s="65">
        <f t="shared" si="0"/>
        <v>2041</v>
      </c>
      <c r="AR12" s="65">
        <f t="shared" si="0"/>
        <v>2042</v>
      </c>
      <c r="AS12" s="65">
        <f t="shared" si="0"/>
        <v>2043</v>
      </c>
      <c r="AT12" s="65">
        <f t="shared" si="0"/>
        <v>2044</v>
      </c>
      <c r="AU12" s="65">
        <f t="shared" si="0"/>
        <v>2045</v>
      </c>
      <c r="AV12" s="65">
        <f t="shared" si="0"/>
        <v>2046</v>
      </c>
      <c r="AW12" s="65">
        <f t="shared" si="0"/>
        <v>2047</v>
      </c>
      <c r="AX12" s="65">
        <f t="shared" si="0"/>
        <v>2048</v>
      </c>
      <c r="AY12" s="65">
        <f t="shared" si="0"/>
        <v>2049</v>
      </c>
      <c r="AZ12" s="65">
        <f t="shared" si="0"/>
        <v>2050</v>
      </c>
      <c r="BA12" s="65">
        <f t="shared" si="0"/>
        <v>2051</v>
      </c>
      <c r="BB12" s="65">
        <f t="shared" si="0"/>
        <v>2052</v>
      </c>
      <c r="BC12" s="65">
        <f t="shared" si="0"/>
        <v>2053</v>
      </c>
      <c r="BD12" s="65">
        <f t="shared" si="0"/>
        <v>2054</v>
      </c>
      <c r="BE12" s="65">
        <f t="shared" si="0"/>
        <v>2055</v>
      </c>
      <c r="BF12" s="65">
        <f t="shared" si="0"/>
        <v>2056</v>
      </c>
      <c r="BG12" s="65">
        <f t="shared" si="0"/>
        <v>2057</v>
      </c>
      <c r="BH12" s="65">
        <f>BG12+1</f>
        <v>2058</v>
      </c>
    </row>
    <row r="13" spans="2:61" x14ac:dyDescent="0.2">
      <c r="B13" s="336" t="s">
        <v>784</v>
      </c>
      <c r="C13" s="66" t="s">
        <v>202</v>
      </c>
      <c r="D13" s="67"/>
      <c r="E13" s="21"/>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row>
    <row r="14" spans="2:61" x14ac:dyDescent="0.2">
      <c r="B14" s="330"/>
      <c r="C14" s="66"/>
      <c r="D14" s="67" t="s">
        <v>350</v>
      </c>
      <c r="E14" s="21">
        <f t="shared" ref="E14:E20" si="1">SUM(F14:BH14)</f>
        <v>0</v>
      </c>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row>
    <row r="15" spans="2:61" x14ac:dyDescent="0.2">
      <c r="B15" s="330"/>
      <c r="C15" s="66"/>
      <c r="D15" s="67" t="s">
        <v>351</v>
      </c>
      <c r="E15" s="21">
        <f t="shared" si="1"/>
        <v>0</v>
      </c>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row>
    <row r="16" spans="2:61" x14ac:dyDescent="0.2">
      <c r="B16" s="330"/>
      <c r="C16" s="66"/>
      <c r="D16" s="67" t="s">
        <v>205</v>
      </c>
      <c r="E16" s="21">
        <f t="shared" si="1"/>
        <v>0</v>
      </c>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row>
    <row r="17" spans="2:62" x14ac:dyDescent="0.2">
      <c r="B17" s="330"/>
      <c r="C17" s="66"/>
      <c r="D17" s="67" t="s">
        <v>352</v>
      </c>
      <c r="E17" s="21">
        <f t="shared" si="1"/>
        <v>0</v>
      </c>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row>
    <row r="18" spans="2:62" x14ac:dyDescent="0.2">
      <c r="B18" s="330"/>
      <c r="C18" s="66"/>
      <c r="D18" s="67" t="s">
        <v>353</v>
      </c>
      <c r="E18" s="21">
        <f t="shared" si="1"/>
        <v>0</v>
      </c>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row>
    <row r="19" spans="2:62" x14ac:dyDescent="0.2">
      <c r="B19" s="330"/>
      <c r="C19" s="66"/>
      <c r="D19" s="67" t="s">
        <v>354</v>
      </c>
      <c r="E19" s="21">
        <f t="shared" si="1"/>
        <v>0</v>
      </c>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row>
    <row r="20" spans="2:62" x14ac:dyDescent="0.2">
      <c r="B20" s="330"/>
      <c r="C20" s="66"/>
      <c r="D20" s="212" t="s">
        <v>355</v>
      </c>
      <c r="E20" s="21">
        <f t="shared" si="1"/>
        <v>0</v>
      </c>
      <c r="F20" s="22">
        <f t="shared" ref="F20:AK20" si="2">SUM(F13:F19)</f>
        <v>0</v>
      </c>
      <c r="G20" s="22">
        <f t="shared" si="2"/>
        <v>0</v>
      </c>
      <c r="H20" s="22">
        <f t="shared" si="2"/>
        <v>0</v>
      </c>
      <c r="I20" s="22">
        <f t="shared" si="2"/>
        <v>0</v>
      </c>
      <c r="J20" s="22">
        <f t="shared" si="2"/>
        <v>0</v>
      </c>
      <c r="K20" s="22">
        <f t="shared" si="2"/>
        <v>0</v>
      </c>
      <c r="L20" s="22">
        <f t="shared" si="2"/>
        <v>0</v>
      </c>
      <c r="M20" s="22">
        <f t="shared" si="2"/>
        <v>0</v>
      </c>
      <c r="N20" s="22">
        <f t="shared" si="2"/>
        <v>0</v>
      </c>
      <c r="O20" s="22">
        <f t="shared" si="2"/>
        <v>0</v>
      </c>
      <c r="P20" s="22">
        <f t="shared" si="2"/>
        <v>0</v>
      </c>
      <c r="Q20" s="22">
        <f t="shared" si="2"/>
        <v>0</v>
      </c>
      <c r="R20" s="22">
        <f t="shared" si="2"/>
        <v>0</v>
      </c>
      <c r="S20" s="22">
        <f t="shared" si="2"/>
        <v>0</v>
      </c>
      <c r="T20" s="22">
        <f t="shared" si="2"/>
        <v>0</v>
      </c>
      <c r="U20" s="22">
        <f t="shared" si="2"/>
        <v>0</v>
      </c>
      <c r="V20" s="22">
        <f t="shared" si="2"/>
        <v>0</v>
      </c>
      <c r="W20" s="22">
        <f t="shared" si="2"/>
        <v>0</v>
      </c>
      <c r="X20" s="22">
        <f t="shared" si="2"/>
        <v>0</v>
      </c>
      <c r="Y20" s="22">
        <f t="shared" si="2"/>
        <v>0</v>
      </c>
      <c r="Z20" s="22">
        <f t="shared" si="2"/>
        <v>0</v>
      </c>
      <c r="AA20" s="22">
        <f t="shared" si="2"/>
        <v>0</v>
      </c>
      <c r="AB20" s="22">
        <f t="shared" si="2"/>
        <v>0</v>
      </c>
      <c r="AC20" s="22">
        <f t="shared" si="2"/>
        <v>0</v>
      </c>
      <c r="AD20" s="22">
        <f t="shared" si="2"/>
        <v>0</v>
      </c>
      <c r="AE20" s="22">
        <f t="shared" si="2"/>
        <v>0</v>
      </c>
      <c r="AF20" s="22">
        <f t="shared" si="2"/>
        <v>0</v>
      </c>
      <c r="AG20" s="22">
        <f t="shared" si="2"/>
        <v>0</v>
      </c>
      <c r="AH20" s="22">
        <f t="shared" si="2"/>
        <v>0</v>
      </c>
      <c r="AI20" s="22">
        <f t="shared" si="2"/>
        <v>0</v>
      </c>
      <c r="AJ20" s="22">
        <f t="shared" si="2"/>
        <v>0</v>
      </c>
      <c r="AK20" s="22">
        <f t="shared" si="2"/>
        <v>0</v>
      </c>
      <c r="AL20" s="22">
        <f t="shared" ref="AL20:BH20" si="3">SUM(AL13:AL19)</f>
        <v>0</v>
      </c>
      <c r="AM20" s="22">
        <f t="shared" si="3"/>
        <v>0</v>
      </c>
      <c r="AN20" s="22">
        <f t="shared" si="3"/>
        <v>0</v>
      </c>
      <c r="AO20" s="22">
        <f t="shared" si="3"/>
        <v>0</v>
      </c>
      <c r="AP20" s="22">
        <f t="shared" si="3"/>
        <v>0</v>
      </c>
      <c r="AQ20" s="22">
        <f t="shared" si="3"/>
        <v>0</v>
      </c>
      <c r="AR20" s="22">
        <f t="shared" si="3"/>
        <v>0</v>
      </c>
      <c r="AS20" s="22">
        <f t="shared" si="3"/>
        <v>0</v>
      </c>
      <c r="AT20" s="22">
        <f t="shared" si="3"/>
        <v>0</v>
      </c>
      <c r="AU20" s="22">
        <f t="shared" si="3"/>
        <v>0</v>
      </c>
      <c r="AV20" s="22">
        <f t="shared" si="3"/>
        <v>0</v>
      </c>
      <c r="AW20" s="22">
        <f t="shared" si="3"/>
        <v>0</v>
      </c>
      <c r="AX20" s="22">
        <f t="shared" si="3"/>
        <v>0</v>
      </c>
      <c r="AY20" s="22">
        <f t="shared" si="3"/>
        <v>0</v>
      </c>
      <c r="AZ20" s="22">
        <f t="shared" si="3"/>
        <v>0</v>
      </c>
      <c r="BA20" s="22">
        <f t="shared" si="3"/>
        <v>0</v>
      </c>
      <c r="BB20" s="22">
        <f t="shared" si="3"/>
        <v>0</v>
      </c>
      <c r="BC20" s="22">
        <f t="shared" si="3"/>
        <v>0</v>
      </c>
      <c r="BD20" s="22">
        <f t="shared" si="3"/>
        <v>0</v>
      </c>
      <c r="BE20" s="22">
        <f t="shared" si="3"/>
        <v>0</v>
      </c>
      <c r="BF20" s="22">
        <f t="shared" si="3"/>
        <v>0</v>
      </c>
      <c r="BG20" s="22">
        <f t="shared" si="3"/>
        <v>0</v>
      </c>
      <c r="BH20" s="22">
        <f t="shared" si="3"/>
        <v>0</v>
      </c>
    </row>
    <row r="21" spans="2:62" x14ac:dyDescent="0.2">
      <c r="B21" s="330"/>
      <c r="C21" s="66" t="s">
        <v>356</v>
      </c>
      <c r="D21" s="66"/>
      <c r="E21" s="21"/>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row>
    <row r="22" spans="2:62" ht="25.5" x14ac:dyDescent="0.2">
      <c r="B22" s="330"/>
      <c r="C22" s="66"/>
      <c r="D22" s="67" t="s">
        <v>357</v>
      </c>
      <c r="E22" s="21">
        <f t="shared" ref="E22:E27" si="4">SUM(F22:BH22)</f>
        <v>0</v>
      </c>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row>
    <row r="23" spans="2:62" x14ac:dyDescent="0.2">
      <c r="B23" s="330"/>
      <c r="C23" s="66"/>
      <c r="D23" s="67" t="s">
        <v>351</v>
      </c>
      <c r="E23" s="21">
        <f t="shared" si="4"/>
        <v>0</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row>
    <row r="24" spans="2:62" x14ac:dyDescent="0.2">
      <c r="B24" s="330"/>
      <c r="C24" s="66"/>
      <c r="D24" s="67" t="s">
        <v>205</v>
      </c>
      <c r="E24" s="21">
        <f t="shared" si="4"/>
        <v>0</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row>
    <row r="25" spans="2:62" x14ac:dyDescent="0.2">
      <c r="B25" s="330"/>
      <c r="C25" s="66"/>
      <c r="D25" s="67" t="s">
        <v>352</v>
      </c>
      <c r="E25" s="21">
        <f t="shared" si="4"/>
        <v>0</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row>
    <row r="26" spans="2:62" x14ac:dyDescent="0.2">
      <c r="B26" s="330"/>
      <c r="C26" s="66"/>
      <c r="D26" s="67" t="s">
        <v>353</v>
      </c>
      <c r="E26" s="21">
        <f t="shared" si="4"/>
        <v>0</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row>
    <row r="27" spans="2:62" x14ac:dyDescent="0.2">
      <c r="B27" s="330"/>
      <c r="C27" s="66"/>
      <c r="D27" s="67" t="s">
        <v>354</v>
      </c>
      <c r="E27" s="21">
        <f t="shared" si="4"/>
        <v>0</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row>
    <row r="28" spans="2:62" x14ac:dyDescent="0.2">
      <c r="B28" s="330"/>
      <c r="C28" s="66"/>
      <c r="D28" s="212" t="s">
        <v>358</v>
      </c>
      <c r="E28" s="21">
        <f>SUM(F28:BH28)</f>
        <v>0</v>
      </c>
      <c r="F28" s="22">
        <f>SUM(F22:F27)</f>
        <v>0</v>
      </c>
      <c r="G28" s="22">
        <f t="shared" ref="G28:BH28" si="5">SUM(G22:G27)</f>
        <v>0</v>
      </c>
      <c r="H28" s="22">
        <f t="shared" si="5"/>
        <v>0</v>
      </c>
      <c r="I28" s="22">
        <f t="shared" si="5"/>
        <v>0</v>
      </c>
      <c r="J28" s="22">
        <f t="shared" si="5"/>
        <v>0</v>
      </c>
      <c r="K28" s="22">
        <f t="shared" si="5"/>
        <v>0</v>
      </c>
      <c r="L28" s="22">
        <f t="shared" si="5"/>
        <v>0</v>
      </c>
      <c r="M28" s="22">
        <f t="shared" si="5"/>
        <v>0</v>
      </c>
      <c r="N28" s="22">
        <f t="shared" si="5"/>
        <v>0</v>
      </c>
      <c r="O28" s="22">
        <f t="shared" si="5"/>
        <v>0</v>
      </c>
      <c r="P28" s="22">
        <f t="shared" si="5"/>
        <v>0</v>
      </c>
      <c r="Q28" s="22">
        <f t="shared" si="5"/>
        <v>0</v>
      </c>
      <c r="R28" s="22">
        <f t="shared" si="5"/>
        <v>0</v>
      </c>
      <c r="S28" s="22">
        <f t="shared" si="5"/>
        <v>0</v>
      </c>
      <c r="T28" s="22">
        <f t="shared" si="5"/>
        <v>0</v>
      </c>
      <c r="U28" s="22">
        <f t="shared" si="5"/>
        <v>0</v>
      </c>
      <c r="V28" s="22">
        <f t="shared" si="5"/>
        <v>0</v>
      </c>
      <c r="W28" s="22">
        <f t="shared" si="5"/>
        <v>0</v>
      </c>
      <c r="X28" s="22">
        <f t="shared" si="5"/>
        <v>0</v>
      </c>
      <c r="Y28" s="22">
        <f t="shared" si="5"/>
        <v>0</v>
      </c>
      <c r="Z28" s="22">
        <f t="shared" si="5"/>
        <v>0</v>
      </c>
      <c r="AA28" s="22">
        <f t="shared" si="5"/>
        <v>0</v>
      </c>
      <c r="AB28" s="22">
        <f t="shared" si="5"/>
        <v>0</v>
      </c>
      <c r="AC28" s="22">
        <f t="shared" si="5"/>
        <v>0</v>
      </c>
      <c r="AD28" s="22">
        <f t="shared" si="5"/>
        <v>0</v>
      </c>
      <c r="AE28" s="22">
        <f t="shared" si="5"/>
        <v>0</v>
      </c>
      <c r="AF28" s="22">
        <f t="shared" si="5"/>
        <v>0</v>
      </c>
      <c r="AG28" s="22">
        <f t="shared" si="5"/>
        <v>0</v>
      </c>
      <c r="AH28" s="22">
        <f t="shared" si="5"/>
        <v>0</v>
      </c>
      <c r="AI28" s="22">
        <f t="shared" si="5"/>
        <v>0</v>
      </c>
      <c r="AJ28" s="22">
        <f t="shared" si="5"/>
        <v>0</v>
      </c>
      <c r="AK28" s="22">
        <f t="shared" si="5"/>
        <v>0</v>
      </c>
      <c r="AL28" s="22">
        <f t="shared" si="5"/>
        <v>0</v>
      </c>
      <c r="AM28" s="22">
        <f t="shared" si="5"/>
        <v>0</v>
      </c>
      <c r="AN28" s="22">
        <f t="shared" si="5"/>
        <v>0</v>
      </c>
      <c r="AO28" s="22">
        <f t="shared" si="5"/>
        <v>0</v>
      </c>
      <c r="AP28" s="22">
        <f t="shared" si="5"/>
        <v>0</v>
      </c>
      <c r="AQ28" s="22">
        <f t="shared" si="5"/>
        <v>0</v>
      </c>
      <c r="AR28" s="22">
        <f t="shared" si="5"/>
        <v>0</v>
      </c>
      <c r="AS28" s="22">
        <f t="shared" si="5"/>
        <v>0</v>
      </c>
      <c r="AT28" s="22">
        <f t="shared" si="5"/>
        <v>0</v>
      </c>
      <c r="AU28" s="22">
        <f t="shared" si="5"/>
        <v>0</v>
      </c>
      <c r="AV28" s="22">
        <f t="shared" si="5"/>
        <v>0</v>
      </c>
      <c r="AW28" s="22">
        <f t="shared" si="5"/>
        <v>0</v>
      </c>
      <c r="AX28" s="22">
        <f t="shared" si="5"/>
        <v>0</v>
      </c>
      <c r="AY28" s="22">
        <f t="shared" si="5"/>
        <v>0</v>
      </c>
      <c r="AZ28" s="22">
        <f t="shared" si="5"/>
        <v>0</v>
      </c>
      <c r="BA28" s="22">
        <f t="shared" si="5"/>
        <v>0</v>
      </c>
      <c r="BB28" s="22">
        <f t="shared" si="5"/>
        <v>0</v>
      </c>
      <c r="BC28" s="22">
        <f t="shared" si="5"/>
        <v>0</v>
      </c>
      <c r="BD28" s="22">
        <f t="shared" si="5"/>
        <v>0</v>
      </c>
      <c r="BE28" s="22">
        <f t="shared" si="5"/>
        <v>0</v>
      </c>
      <c r="BF28" s="22">
        <f t="shared" si="5"/>
        <v>0</v>
      </c>
      <c r="BG28" s="22">
        <f t="shared" si="5"/>
        <v>0</v>
      </c>
      <c r="BH28" s="22">
        <f t="shared" si="5"/>
        <v>0</v>
      </c>
    </row>
    <row r="29" spans="2:62" x14ac:dyDescent="0.2">
      <c r="B29" s="330"/>
      <c r="C29" s="66"/>
      <c r="D29" s="66" t="s">
        <v>70</v>
      </c>
      <c r="E29" s="21">
        <f>E20+E28</f>
        <v>0</v>
      </c>
      <c r="F29" s="21">
        <f>F20+F28</f>
        <v>0</v>
      </c>
      <c r="G29" s="21">
        <f t="shared" ref="G29:AJ29" si="6">G20+G28</f>
        <v>0</v>
      </c>
      <c r="H29" s="21">
        <f t="shared" si="6"/>
        <v>0</v>
      </c>
      <c r="I29" s="21">
        <f t="shared" si="6"/>
        <v>0</v>
      </c>
      <c r="J29" s="21">
        <f t="shared" si="6"/>
        <v>0</v>
      </c>
      <c r="K29" s="21">
        <f t="shared" si="6"/>
        <v>0</v>
      </c>
      <c r="L29" s="21">
        <f t="shared" si="6"/>
        <v>0</v>
      </c>
      <c r="M29" s="21">
        <f t="shared" si="6"/>
        <v>0</v>
      </c>
      <c r="N29" s="21">
        <f t="shared" si="6"/>
        <v>0</v>
      </c>
      <c r="O29" s="21">
        <f t="shared" si="6"/>
        <v>0</v>
      </c>
      <c r="P29" s="21">
        <f t="shared" si="6"/>
        <v>0</v>
      </c>
      <c r="Q29" s="21">
        <f t="shared" si="6"/>
        <v>0</v>
      </c>
      <c r="R29" s="21">
        <f t="shared" si="6"/>
        <v>0</v>
      </c>
      <c r="S29" s="21">
        <f t="shared" si="6"/>
        <v>0</v>
      </c>
      <c r="T29" s="21">
        <f t="shared" si="6"/>
        <v>0</v>
      </c>
      <c r="U29" s="21">
        <f t="shared" si="6"/>
        <v>0</v>
      </c>
      <c r="V29" s="21">
        <f t="shared" si="6"/>
        <v>0</v>
      </c>
      <c r="W29" s="21">
        <f t="shared" si="6"/>
        <v>0</v>
      </c>
      <c r="X29" s="21">
        <f t="shared" si="6"/>
        <v>0</v>
      </c>
      <c r="Y29" s="21">
        <f t="shared" si="6"/>
        <v>0</v>
      </c>
      <c r="Z29" s="21">
        <f t="shared" si="6"/>
        <v>0</v>
      </c>
      <c r="AA29" s="21">
        <f t="shared" si="6"/>
        <v>0</v>
      </c>
      <c r="AB29" s="21">
        <f t="shared" si="6"/>
        <v>0</v>
      </c>
      <c r="AC29" s="21">
        <f t="shared" si="6"/>
        <v>0</v>
      </c>
      <c r="AD29" s="21">
        <f t="shared" si="6"/>
        <v>0</v>
      </c>
      <c r="AE29" s="21">
        <f t="shared" si="6"/>
        <v>0</v>
      </c>
      <c r="AF29" s="21">
        <f t="shared" si="6"/>
        <v>0</v>
      </c>
      <c r="AG29" s="21">
        <f t="shared" si="6"/>
        <v>0</v>
      </c>
      <c r="AH29" s="21">
        <f t="shared" si="6"/>
        <v>0</v>
      </c>
      <c r="AI29" s="21">
        <f t="shared" si="6"/>
        <v>0</v>
      </c>
      <c r="AJ29" s="21">
        <f t="shared" si="6"/>
        <v>0</v>
      </c>
      <c r="AK29" s="21">
        <f t="shared" ref="AK29:BH29" si="7">AK20+AK28</f>
        <v>0</v>
      </c>
      <c r="AL29" s="21">
        <f t="shared" si="7"/>
        <v>0</v>
      </c>
      <c r="AM29" s="21">
        <f t="shared" si="7"/>
        <v>0</v>
      </c>
      <c r="AN29" s="21">
        <f t="shared" si="7"/>
        <v>0</v>
      </c>
      <c r="AO29" s="21">
        <f t="shared" si="7"/>
        <v>0</v>
      </c>
      <c r="AP29" s="21">
        <f t="shared" si="7"/>
        <v>0</v>
      </c>
      <c r="AQ29" s="21">
        <f t="shared" si="7"/>
        <v>0</v>
      </c>
      <c r="AR29" s="21">
        <f t="shared" si="7"/>
        <v>0</v>
      </c>
      <c r="AS29" s="21">
        <f t="shared" si="7"/>
        <v>0</v>
      </c>
      <c r="AT29" s="21">
        <f t="shared" si="7"/>
        <v>0</v>
      </c>
      <c r="AU29" s="21">
        <f t="shared" si="7"/>
        <v>0</v>
      </c>
      <c r="AV29" s="21">
        <f t="shared" si="7"/>
        <v>0</v>
      </c>
      <c r="AW29" s="21">
        <f t="shared" si="7"/>
        <v>0</v>
      </c>
      <c r="AX29" s="21">
        <f t="shared" si="7"/>
        <v>0</v>
      </c>
      <c r="AY29" s="21">
        <f t="shared" si="7"/>
        <v>0</v>
      </c>
      <c r="AZ29" s="21">
        <f t="shared" si="7"/>
        <v>0</v>
      </c>
      <c r="BA29" s="21">
        <f t="shared" si="7"/>
        <v>0</v>
      </c>
      <c r="BB29" s="21">
        <f t="shared" si="7"/>
        <v>0</v>
      </c>
      <c r="BC29" s="21">
        <f t="shared" si="7"/>
        <v>0</v>
      </c>
      <c r="BD29" s="21">
        <f t="shared" si="7"/>
        <v>0</v>
      </c>
      <c r="BE29" s="21">
        <f t="shared" si="7"/>
        <v>0</v>
      </c>
      <c r="BF29" s="21">
        <f t="shared" si="7"/>
        <v>0</v>
      </c>
      <c r="BG29" s="21">
        <f t="shared" si="7"/>
        <v>0</v>
      </c>
      <c r="BH29" s="21">
        <f t="shared" si="7"/>
        <v>0</v>
      </c>
    </row>
    <row r="30" spans="2:62" x14ac:dyDescent="0.2">
      <c r="B30" s="330"/>
      <c r="C30" s="66" t="s">
        <v>359</v>
      </c>
      <c r="D30" s="66"/>
      <c r="E30" s="21"/>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2:62" x14ac:dyDescent="0.2">
      <c r="B31" s="330"/>
      <c r="C31" s="66"/>
      <c r="D31" s="68" t="s">
        <v>116</v>
      </c>
      <c r="E31" s="21">
        <f t="shared" ref="E31:E37" si="8">SUM(F31:BH31)</f>
        <v>0</v>
      </c>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row>
    <row r="32" spans="2:62" x14ac:dyDescent="0.2">
      <c r="B32" s="330"/>
      <c r="C32" s="66"/>
      <c r="D32" s="68" t="s">
        <v>360</v>
      </c>
      <c r="E32" s="21">
        <f t="shared" si="8"/>
        <v>0</v>
      </c>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J32" s="15"/>
    </row>
    <row r="33" spans="2:60" x14ac:dyDescent="0.2">
      <c r="B33" s="330"/>
      <c r="C33" s="66"/>
      <c r="D33" s="68" t="s">
        <v>361</v>
      </c>
      <c r="E33" s="21">
        <f t="shared" si="8"/>
        <v>0</v>
      </c>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row>
    <row r="34" spans="2:60" x14ac:dyDescent="0.2">
      <c r="B34" s="330"/>
      <c r="C34" s="66"/>
      <c r="D34" s="67" t="s">
        <v>362</v>
      </c>
      <c r="E34" s="21">
        <f t="shared" si="8"/>
        <v>0</v>
      </c>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row>
    <row r="35" spans="2:60" x14ac:dyDescent="0.2">
      <c r="B35" s="330"/>
      <c r="C35" s="66"/>
      <c r="D35" s="68" t="s">
        <v>363</v>
      </c>
      <c r="E35" s="21">
        <f t="shared" si="8"/>
        <v>0</v>
      </c>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row>
    <row r="36" spans="2:60" x14ac:dyDescent="0.2">
      <c r="B36" s="330"/>
      <c r="C36" s="66"/>
      <c r="D36" s="66" t="s">
        <v>364</v>
      </c>
      <c r="E36" s="21">
        <f t="shared" si="8"/>
        <v>0</v>
      </c>
      <c r="F36" s="22">
        <f>SUM(F31:F35)</f>
        <v>0</v>
      </c>
      <c r="G36" s="22">
        <f t="shared" ref="G36:AK36" si="9">SUM(G31:G35)</f>
        <v>0</v>
      </c>
      <c r="H36" s="22">
        <f t="shared" si="9"/>
        <v>0</v>
      </c>
      <c r="I36" s="22">
        <f t="shared" si="9"/>
        <v>0</v>
      </c>
      <c r="J36" s="22">
        <f t="shared" si="9"/>
        <v>0</v>
      </c>
      <c r="K36" s="22">
        <f t="shared" si="9"/>
        <v>0</v>
      </c>
      <c r="L36" s="22">
        <f t="shared" si="9"/>
        <v>0</v>
      </c>
      <c r="M36" s="22">
        <f t="shared" si="9"/>
        <v>0</v>
      </c>
      <c r="N36" s="22">
        <f t="shared" si="9"/>
        <v>0</v>
      </c>
      <c r="O36" s="22">
        <f t="shared" si="9"/>
        <v>0</v>
      </c>
      <c r="P36" s="22">
        <f t="shared" si="9"/>
        <v>0</v>
      </c>
      <c r="Q36" s="22">
        <f t="shared" si="9"/>
        <v>0</v>
      </c>
      <c r="R36" s="22">
        <f t="shared" si="9"/>
        <v>0</v>
      </c>
      <c r="S36" s="22">
        <f t="shared" si="9"/>
        <v>0</v>
      </c>
      <c r="T36" s="22">
        <f t="shared" si="9"/>
        <v>0</v>
      </c>
      <c r="U36" s="22">
        <f t="shared" si="9"/>
        <v>0</v>
      </c>
      <c r="V36" s="22">
        <f t="shared" si="9"/>
        <v>0</v>
      </c>
      <c r="W36" s="22">
        <f t="shared" si="9"/>
        <v>0</v>
      </c>
      <c r="X36" s="22">
        <f t="shared" si="9"/>
        <v>0</v>
      </c>
      <c r="Y36" s="22">
        <f t="shared" si="9"/>
        <v>0</v>
      </c>
      <c r="Z36" s="22">
        <f t="shared" si="9"/>
        <v>0</v>
      </c>
      <c r="AA36" s="22">
        <f t="shared" si="9"/>
        <v>0</v>
      </c>
      <c r="AB36" s="22">
        <f t="shared" si="9"/>
        <v>0</v>
      </c>
      <c r="AC36" s="22">
        <f t="shared" si="9"/>
        <v>0</v>
      </c>
      <c r="AD36" s="22">
        <f t="shared" si="9"/>
        <v>0</v>
      </c>
      <c r="AE36" s="22">
        <f t="shared" si="9"/>
        <v>0</v>
      </c>
      <c r="AF36" s="22">
        <f t="shared" si="9"/>
        <v>0</v>
      </c>
      <c r="AG36" s="22">
        <f t="shared" si="9"/>
        <v>0</v>
      </c>
      <c r="AH36" s="22">
        <f t="shared" si="9"/>
        <v>0</v>
      </c>
      <c r="AI36" s="22">
        <f t="shared" si="9"/>
        <v>0</v>
      </c>
      <c r="AJ36" s="22">
        <f t="shared" si="9"/>
        <v>0</v>
      </c>
      <c r="AK36" s="22">
        <f t="shared" si="9"/>
        <v>0</v>
      </c>
      <c r="AL36" s="22">
        <f t="shared" ref="AL36:BH36" si="10">SUM(AL31:AL35)</f>
        <v>0</v>
      </c>
      <c r="AM36" s="22">
        <f t="shared" si="10"/>
        <v>0</v>
      </c>
      <c r="AN36" s="22">
        <f t="shared" si="10"/>
        <v>0</v>
      </c>
      <c r="AO36" s="22">
        <f t="shared" si="10"/>
        <v>0</v>
      </c>
      <c r="AP36" s="22">
        <f t="shared" si="10"/>
        <v>0</v>
      </c>
      <c r="AQ36" s="22">
        <f t="shared" si="10"/>
        <v>0</v>
      </c>
      <c r="AR36" s="22">
        <f t="shared" si="10"/>
        <v>0</v>
      </c>
      <c r="AS36" s="22">
        <f t="shared" si="10"/>
        <v>0</v>
      </c>
      <c r="AT36" s="22">
        <f t="shared" si="10"/>
        <v>0</v>
      </c>
      <c r="AU36" s="22">
        <f t="shared" si="10"/>
        <v>0</v>
      </c>
      <c r="AV36" s="22">
        <f t="shared" si="10"/>
        <v>0</v>
      </c>
      <c r="AW36" s="22">
        <f t="shared" si="10"/>
        <v>0</v>
      </c>
      <c r="AX36" s="22">
        <f t="shared" si="10"/>
        <v>0</v>
      </c>
      <c r="AY36" s="22">
        <f t="shared" si="10"/>
        <v>0</v>
      </c>
      <c r="AZ36" s="22">
        <f t="shared" si="10"/>
        <v>0</v>
      </c>
      <c r="BA36" s="22">
        <f t="shared" si="10"/>
        <v>0</v>
      </c>
      <c r="BB36" s="22">
        <f t="shared" si="10"/>
        <v>0</v>
      </c>
      <c r="BC36" s="22">
        <f t="shared" si="10"/>
        <v>0</v>
      </c>
      <c r="BD36" s="22">
        <f t="shared" si="10"/>
        <v>0</v>
      </c>
      <c r="BE36" s="22">
        <f t="shared" si="10"/>
        <v>0</v>
      </c>
      <c r="BF36" s="22">
        <f t="shared" si="10"/>
        <v>0</v>
      </c>
      <c r="BG36" s="22">
        <f t="shared" si="10"/>
        <v>0</v>
      </c>
      <c r="BH36" s="22">
        <f t="shared" si="10"/>
        <v>0</v>
      </c>
    </row>
    <row r="37" spans="2:60" ht="23.25" customHeight="1" x14ac:dyDescent="0.2">
      <c r="B37" s="330"/>
      <c r="C37" s="94"/>
      <c r="D37" s="89" t="s">
        <v>365</v>
      </c>
      <c r="E37" s="96">
        <f t="shared" si="8"/>
        <v>0</v>
      </c>
      <c r="F37" s="22">
        <f>F20+F28-F36</f>
        <v>0</v>
      </c>
      <c r="G37" s="22">
        <f t="shared" ref="G37:AK37" si="11">G20+G28-G36</f>
        <v>0</v>
      </c>
      <c r="H37" s="22">
        <f t="shared" si="11"/>
        <v>0</v>
      </c>
      <c r="I37" s="22">
        <f t="shared" si="11"/>
        <v>0</v>
      </c>
      <c r="J37" s="22">
        <f t="shared" si="11"/>
        <v>0</v>
      </c>
      <c r="K37" s="22">
        <f t="shared" si="11"/>
        <v>0</v>
      </c>
      <c r="L37" s="22">
        <f t="shared" si="11"/>
        <v>0</v>
      </c>
      <c r="M37" s="22">
        <f t="shared" si="11"/>
        <v>0</v>
      </c>
      <c r="N37" s="22">
        <f t="shared" si="11"/>
        <v>0</v>
      </c>
      <c r="O37" s="22">
        <f t="shared" si="11"/>
        <v>0</v>
      </c>
      <c r="P37" s="22">
        <f t="shared" si="11"/>
        <v>0</v>
      </c>
      <c r="Q37" s="22">
        <f t="shared" si="11"/>
        <v>0</v>
      </c>
      <c r="R37" s="22">
        <f t="shared" si="11"/>
        <v>0</v>
      </c>
      <c r="S37" s="22">
        <f t="shared" si="11"/>
        <v>0</v>
      </c>
      <c r="T37" s="22">
        <f t="shared" si="11"/>
        <v>0</v>
      </c>
      <c r="U37" s="22">
        <f t="shared" si="11"/>
        <v>0</v>
      </c>
      <c r="V37" s="22">
        <f t="shared" si="11"/>
        <v>0</v>
      </c>
      <c r="W37" s="22">
        <f t="shared" si="11"/>
        <v>0</v>
      </c>
      <c r="X37" s="22">
        <f t="shared" si="11"/>
        <v>0</v>
      </c>
      <c r="Y37" s="22">
        <f t="shared" si="11"/>
        <v>0</v>
      </c>
      <c r="Z37" s="22">
        <f t="shared" si="11"/>
        <v>0</v>
      </c>
      <c r="AA37" s="22">
        <f t="shared" si="11"/>
        <v>0</v>
      </c>
      <c r="AB37" s="22">
        <f t="shared" si="11"/>
        <v>0</v>
      </c>
      <c r="AC37" s="22">
        <f t="shared" si="11"/>
        <v>0</v>
      </c>
      <c r="AD37" s="22">
        <f t="shared" si="11"/>
        <v>0</v>
      </c>
      <c r="AE37" s="22">
        <f t="shared" si="11"/>
        <v>0</v>
      </c>
      <c r="AF37" s="22">
        <f t="shared" si="11"/>
        <v>0</v>
      </c>
      <c r="AG37" s="22">
        <f t="shared" si="11"/>
        <v>0</v>
      </c>
      <c r="AH37" s="22">
        <f t="shared" si="11"/>
        <v>0</v>
      </c>
      <c r="AI37" s="22">
        <f t="shared" si="11"/>
        <v>0</v>
      </c>
      <c r="AJ37" s="22">
        <f t="shared" si="11"/>
        <v>0</v>
      </c>
      <c r="AK37" s="22">
        <f t="shared" si="11"/>
        <v>0</v>
      </c>
      <c r="AL37" s="22">
        <f t="shared" ref="AL37:BH37" si="12">AL20+AL28-AL36</f>
        <v>0</v>
      </c>
      <c r="AM37" s="22">
        <f t="shared" si="12"/>
        <v>0</v>
      </c>
      <c r="AN37" s="22">
        <f t="shared" si="12"/>
        <v>0</v>
      </c>
      <c r="AO37" s="22">
        <f t="shared" si="12"/>
        <v>0</v>
      </c>
      <c r="AP37" s="22">
        <f t="shared" si="12"/>
        <v>0</v>
      </c>
      <c r="AQ37" s="22">
        <f t="shared" si="12"/>
        <v>0</v>
      </c>
      <c r="AR37" s="22">
        <f t="shared" si="12"/>
        <v>0</v>
      </c>
      <c r="AS37" s="22">
        <f t="shared" si="12"/>
        <v>0</v>
      </c>
      <c r="AT37" s="22">
        <f t="shared" si="12"/>
        <v>0</v>
      </c>
      <c r="AU37" s="22">
        <f t="shared" si="12"/>
        <v>0</v>
      </c>
      <c r="AV37" s="22">
        <f t="shared" si="12"/>
        <v>0</v>
      </c>
      <c r="AW37" s="22">
        <f t="shared" si="12"/>
        <v>0</v>
      </c>
      <c r="AX37" s="22">
        <f t="shared" si="12"/>
        <v>0</v>
      </c>
      <c r="AY37" s="22">
        <f t="shared" si="12"/>
        <v>0</v>
      </c>
      <c r="AZ37" s="22">
        <f t="shared" si="12"/>
        <v>0</v>
      </c>
      <c r="BA37" s="22">
        <f t="shared" si="12"/>
        <v>0</v>
      </c>
      <c r="BB37" s="22">
        <f t="shared" si="12"/>
        <v>0</v>
      </c>
      <c r="BC37" s="22">
        <f t="shared" si="12"/>
        <v>0</v>
      </c>
      <c r="BD37" s="22">
        <f t="shared" si="12"/>
        <v>0</v>
      </c>
      <c r="BE37" s="22">
        <f t="shared" si="12"/>
        <v>0</v>
      </c>
      <c r="BF37" s="22">
        <f t="shared" si="12"/>
        <v>0</v>
      </c>
      <c r="BG37" s="22">
        <f t="shared" si="12"/>
        <v>0</v>
      </c>
      <c r="BH37" s="22">
        <f t="shared" si="12"/>
        <v>0</v>
      </c>
    </row>
    <row r="38" spans="2:60" x14ac:dyDescent="0.2">
      <c r="B38" s="330"/>
      <c r="C38" s="94" t="s">
        <v>366</v>
      </c>
      <c r="D38" s="69" t="s">
        <v>367</v>
      </c>
      <c r="E38" s="21"/>
      <c r="F38" s="21"/>
      <c r="G38" s="21">
        <f>F29+F38-F36</f>
        <v>0</v>
      </c>
      <c r="H38" s="21">
        <f t="shared" ref="H38:AL38" si="13">G29+G38-G36</f>
        <v>0</v>
      </c>
      <c r="I38" s="21">
        <f t="shared" si="13"/>
        <v>0</v>
      </c>
      <c r="J38" s="21">
        <f t="shared" si="13"/>
        <v>0</v>
      </c>
      <c r="K38" s="21">
        <f t="shared" si="13"/>
        <v>0</v>
      </c>
      <c r="L38" s="21">
        <f t="shared" si="13"/>
        <v>0</v>
      </c>
      <c r="M38" s="21">
        <f t="shared" si="13"/>
        <v>0</v>
      </c>
      <c r="N38" s="21">
        <f t="shared" si="13"/>
        <v>0</v>
      </c>
      <c r="O38" s="21">
        <f t="shared" si="13"/>
        <v>0</v>
      </c>
      <c r="P38" s="21">
        <f t="shared" si="13"/>
        <v>0</v>
      </c>
      <c r="Q38" s="21">
        <f t="shared" si="13"/>
        <v>0</v>
      </c>
      <c r="R38" s="21">
        <f t="shared" si="13"/>
        <v>0</v>
      </c>
      <c r="S38" s="21">
        <f t="shared" si="13"/>
        <v>0</v>
      </c>
      <c r="T38" s="21">
        <f t="shared" si="13"/>
        <v>0</v>
      </c>
      <c r="U38" s="21">
        <f t="shared" si="13"/>
        <v>0</v>
      </c>
      <c r="V38" s="21">
        <f t="shared" si="13"/>
        <v>0</v>
      </c>
      <c r="W38" s="21">
        <f t="shared" si="13"/>
        <v>0</v>
      </c>
      <c r="X38" s="21">
        <f t="shared" si="13"/>
        <v>0</v>
      </c>
      <c r="Y38" s="21">
        <f t="shared" si="13"/>
        <v>0</v>
      </c>
      <c r="Z38" s="21">
        <f t="shared" si="13"/>
        <v>0</v>
      </c>
      <c r="AA38" s="21">
        <f t="shared" si="13"/>
        <v>0</v>
      </c>
      <c r="AB38" s="21">
        <f t="shared" si="13"/>
        <v>0</v>
      </c>
      <c r="AC38" s="21">
        <f t="shared" si="13"/>
        <v>0</v>
      </c>
      <c r="AD38" s="21">
        <f t="shared" si="13"/>
        <v>0</v>
      </c>
      <c r="AE38" s="21">
        <f t="shared" si="13"/>
        <v>0</v>
      </c>
      <c r="AF38" s="21">
        <f t="shared" si="13"/>
        <v>0</v>
      </c>
      <c r="AG38" s="21">
        <f t="shared" si="13"/>
        <v>0</v>
      </c>
      <c r="AH38" s="21">
        <f t="shared" si="13"/>
        <v>0</v>
      </c>
      <c r="AI38" s="21">
        <f t="shared" si="13"/>
        <v>0</v>
      </c>
      <c r="AJ38" s="21">
        <f t="shared" si="13"/>
        <v>0</v>
      </c>
      <c r="AK38" s="21">
        <f t="shared" si="13"/>
        <v>0</v>
      </c>
      <c r="AL38" s="21">
        <f t="shared" si="13"/>
        <v>0</v>
      </c>
      <c r="AM38" s="21">
        <f t="shared" ref="AM38:BG38" si="14">AL29+AL38-AL36</f>
        <v>0</v>
      </c>
      <c r="AN38" s="21">
        <f t="shared" si="14"/>
        <v>0</v>
      </c>
      <c r="AO38" s="21">
        <f t="shared" si="14"/>
        <v>0</v>
      </c>
      <c r="AP38" s="21">
        <f t="shared" si="14"/>
        <v>0</v>
      </c>
      <c r="AQ38" s="21">
        <f t="shared" si="14"/>
        <v>0</v>
      </c>
      <c r="AR38" s="21">
        <f t="shared" si="14"/>
        <v>0</v>
      </c>
      <c r="AS38" s="21">
        <f t="shared" si="14"/>
        <v>0</v>
      </c>
      <c r="AT38" s="21">
        <f t="shared" si="14"/>
        <v>0</v>
      </c>
      <c r="AU38" s="21">
        <f t="shared" si="14"/>
        <v>0</v>
      </c>
      <c r="AV38" s="21">
        <f t="shared" si="14"/>
        <v>0</v>
      </c>
      <c r="AW38" s="21">
        <f t="shared" si="14"/>
        <v>0</v>
      </c>
      <c r="AX38" s="21">
        <f t="shared" si="14"/>
        <v>0</v>
      </c>
      <c r="AY38" s="21">
        <f t="shared" si="14"/>
        <v>0</v>
      </c>
      <c r="AZ38" s="21">
        <f t="shared" si="14"/>
        <v>0</v>
      </c>
      <c r="BA38" s="21">
        <f t="shared" si="14"/>
        <v>0</v>
      </c>
      <c r="BB38" s="21">
        <f t="shared" si="14"/>
        <v>0</v>
      </c>
      <c r="BC38" s="21">
        <f t="shared" si="14"/>
        <v>0</v>
      </c>
      <c r="BD38" s="21">
        <f t="shared" si="14"/>
        <v>0</v>
      </c>
      <c r="BE38" s="21">
        <f t="shared" si="14"/>
        <v>0</v>
      </c>
      <c r="BF38" s="21">
        <f t="shared" si="14"/>
        <v>0</v>
      </c>
      <c r="BG38" s="21">
        <f t="shared" si="14"/>
        <v>0</v>
      </c>
      <c r="BH38" s="21">
        <f>BG29+BG38-BG36</f>
        <v>0</v>
      </c>
    </row>
    <row r="39" spans="2:60" x14ac:dyDescent="0.2">
      <c r="B39" s="330"/>
      <c r="C39" s="94" t="s">
        <v>366</v>
      </c>
      <c r="D39" s="69" t="s">
        <v>368</v>
      </c>
      <c r="E39" s="21"/>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row>
    <row r="40" spans="2:60" ht="29.25" customHeight="1" x14ac:dyDescent="0.2">
      <c r="D40" s="213"/>
    </row>
    <row r="41" spans="2:60" ht="15.75" x14ac:dyDescent="0.25">
      <c r="B41" s="214" t="s">
        <v>369</v>
      </c>
      <c r="C41" s="4"/>
    </row>
    <row r="42" spans="2:60" x14ac:dyDescent="0.2">
      <c r="B42" s="215"/>
      <c r="C42" s="216"/>
    </row>
    <row r="43" spans="2:60" x14ac:dyDescent="0.2">
      <c r="B43" s="32" t="s">
        <v>98</v>
      </c>
      <c r="C43" s="217">
        <f>IF( '1. Pipeline information'!C14=0, "0/01/1960", '1. Pipeline information'!C14)</f>
        <v>37987</v>
      </c>
    </row>
    <row r="48" spans="2:60" x14ac:dyDescent="0.2">
      <c r="C48" s="218"/>
    </row>
    <row r="49" spans="3:3" x14ac:dyDescent="0.2">
      <c r="C49" s="218"/>
    </row>
    <row r="50" spans="3:3" x14ac:dyDescent="0.2">
      <c r="C50" s="15"/>
    </row>
  </sheetData>
  <sheetProtection algorithmName="SHA-512" hashValue="Qd4j8E4XvQwFtviFACAvw4EB8C0vkZO1dvFZaNKTYT/JRE+pUyi4aH3r6KmDMvfff49yQxxu6MUXsvk1DRZovQ==" saltValue="OfhR6QMRxdgiygLGJoqLHA==" spinCount="100000" sheet="1" objects="1" scenarios="1"/>
  <mergeCells count="3">
    <mergeCell ref="F11:BH11"/>
    <mergeCell ref="C11:D11"/>
    <mergeCell ref="B6:D7"/>
  </mergeCells>
  <phoneticPr fontId="75" type="noConversion"/>
  <conditionalFormatting sqref="F35">
    <cfRule type="cellIs" dxfId="57" priority="55" stopIfTrue="1" operator="greaterThan">
      <formula>F$31</formula>
    </cfRule>
  </conditionalFormatting>
  <conditionalFormatting sqref="G35">
    <cfRule type="cellIs" dxfId="56" priority="54" stopIfTrue="1" operator="greaterThan">
      <formula>$G$31</formula>
    </cfRule>
  </conditionalFormatting>
  <conditionalFormatting sqref="H35">
    <cfRule type="cellIs" dxfId="55" priority="53" stopIfTrue="1" operator="greaterThan">
      <formula>$H$31</formula>
    </cfRule>
  </conditionalFormatting>
  <conditionalFormatting sqref="I35">
    <cfRule type="cellIs" dxfId="54" priority="52" stopIfTrue="1" operator="greaterThan">
      <formula>$I$31</formula>
    </cfRule>
  </conditionalFormatting>
  <conditionalFormatting sqref="J35">
    <cfRule type="cellIs" dxfId="53" priority="51" stopIfTrue="1" operator="greaterThan">
      <formula>$J$31</formula>
    </cfRule>
  </conditionalFormatting>
  <conditionalFormatting sqref="K35">
    <cfRule type="cellIs" dxfId="52" priority="50" stopIfTrue="1" operator="greaterThan">
      <formula>$K$31</formula>
    </cfRule>
  </conditionalFormatting>
  <conditionalFormatting sqref="L35">
    <cfRule type="cellIs" dxfId="51" priority="49" stopIfTrue="1" operator="greaterThan">
      <formula>$L$31</formula>
    </cfRule>
  </conditionalFormatting>
  <conditionalFormatting sqref="M35">
    <cfRule type="cellIs" dxfId="50" priority="48" stopIfTrue="1" operator="greaterThan">
      <formula>$M$31</formula>
    </cfRule>
  </conditionalFormatting>
  <conditionalFormatting sqref="N35">
    <cfRule type="cellIs" dxfId="49" priority="47" stopIfTrue="1" operator="greaterThan">
      <formula>$N$31</formula>
    </cfRule>
  </conditionalFormatting>
  <conditionalFormatting sqref="O35">
    <cfRule type="cellIs" dxfId="48" priority="46" stopIfTrue="1" operator="greaterThan">
      <formula>$O$31</formula>
    </cfRule>
  </conditionalFormatting>
  <conditionalFormatting sqref="P35">
    <cfRule type="cellIs" dxfId="47" priority="45" stopIfTrue="1" operator="greaterThan">
      <formula>$P$31</formula>
    </cfRule>
  </conditionalFormatting>
  <conditionalFormatting sqref="Q35">
    <cfRule type="cellIs" dxfId="46" priority="44" stopIfTrue="1" operator="greaterThan">
      <formula>$Q$31</formula>
    </cfRule>
  </conditionalFormatting>
  <conditionalFormatting sqref="R35">
    <cfRule type="cellIs" dxfId="45" priority="43" stopIfTrue="1" operator="greaterThan">
      <formula>$R$31</formula>
    </cfRule>
  </conditionalFormatting>
  <conditionalFormatting sqref="S35">
    <cfRule type="cellIs" dxfId="44" priority="42" stopIfTrue="1" operator="greaterThan">
      <formula>$S$31</formula>
    </cfRule>
  </conditionalFormatting>
  <conditionalFormatting sqref="T35">
    <cfRule type="cellIs" dxfId="43" priority="41" stopIfTrue="1" operator="greaterThan">
      <formula>$T$31</formula>
    </cfRule>
  </conditionalFormatting>
  <conditionalFormatting sqref="U35">
    <cfRule type="cellIs" dxfId="42" priority="40" stopIfTrue="1" operator="greaterThan">
      <formula>$U$31</formula>
    </cfRule>
  </conditionalFormatting>
  <conditionalFormatting sqref="V35">
    <cfRule type="cellIs" dxfId="41" priority="39" stopIfTrue="1" operator="greaterThan">
      <formula>$V$31</formula>
    </cfRule>
  </conditionalFormatting>
  <conditionalFormatting sqref="W35">
    <cfRule type="cellIs" dxfId="40" priority="38" stopIfTrue="1" operator="greaterThan">
      <formula>$W$31</formula>
    </cfRule>
  </conditionalFormatting>
  <conditionalFormatting sqref="X35">
    <cfRule type="cellIs" dxfId="39" priority="37" stopIfTrue="1" operator="greaterThan">
      <formula>$X$31</formula>
    </cfRule>
  </conditionalFormatting>
  <conditionalFormatting sqref="Y35">
    <cfRule type="cellIs" dxfId="38" priority="36" stopIfTrue="1" operator="greaterThan">
      <formula>$Y$31</formula>
    </cfRule>
  </conditionalFormatting>
  <conditionalFormatting sqref="Z35">
    <cfRule type="cellIs" dxfId="37" priority="35" stopIfTrue="1" operator="greaterThan">
      <formula>$Z$31</formula>
    </cfRule>
  </conditionalFormatting>
  <conditionalFormatting sqref="AA35">
    <cfRule type="cellIs" dxfId="36" priority="34" stopIfTrue="1" operator="greaterThan">
      <formula>$AA$31</formula>
    </cfRule>
  </conditionalFormatting>
  <conditionalFormatting sqref="AB35">
    <cfRule type="cellIs" dxfId="35" priority="33" stopIfTrue="1" operator="greaterThan">
      <formula>$AB$31</formula>
    </cfRule>
  </conditionalFormatting>
  <conditionalFormatting sqref="AC35">
    <cfRule type="cellIs" dxfId="34" priority="32" stopIfTrue="1" operator="greaterThan">
      <formula>$AC$31</formula>
    </cfRule>
  </conditionalFormatting>
  <conditionalFormatting sqref="AD35">
    <cfRule type="cellIs" dxfId="33" priority="31" stopIfTrue="1" operator="greaterThan">
      <formula>$AD$31</formula>
    </cfRule>
  </conditionalFormatting>
  <conditionalFormatting sqref="AE35">
    <cfRule type="cellIs" dxfId="32" priority="30" stopIfTrue="1" operator="greaterThan">
      <formula>$AE$31</formula>
    </cfRule>
  </conditionalFormatting>
  <conditionalFormatting sqref="AF35">
    <cfRule type="cellIs" dxfId="31" priority="29" stopIfTrue="1" operator="greaterThan">
      <formula>$AF$31</formula>
    </cfRule>
  </conditionalFormatting>
  <conditionalFormatting sqref="AG35">
    <cfRule type="cellIs" dxfId="30" priority="28" stopIfTrue="1" operator="greaterThan">
      <formula>$AG$31</formula>
    </cfRule>
  </conditionalFormatting>
  <conditionalFormatting sqref="AH35">
    <cfRule type="cellIs" dxfId="29" priority="27" stopIfTrue="1" operator="greaterThan">
      <formula>$AH$31</formula>
    </cfRule>
  </conditionalFormatting>
  <conditionalFormatting sqref="AI35">
    <cfRule type="cellIs" dxfId="28" priority="26" stopIfTrue="1" operator="greaterThan">
      <formula>$AI$31</formula>
    </cfRule>
  </conditionalFormatting>
  <conditionalFormatting sqref="AJ35">
    <cfRule type="cellIs" dxfId="27" priority="25" stopIfTrue="1" operator="greaterThan">
      <formula>$AJ$31</formula>
    </cfRule>
  </conditionalFormatting>
  <conditionalFormatting sqref="AK35">
    <cfRule type="cellIs" dxfId="26" priority="24" stopIfTrue="1" operator="greaterThan">
      <formula>$AK$31</formula>
    </cfRule>
  </conditionalFormatting>
  <conditionalFormatting sqref="AL35">
    <cfRule type="cellIs" dxfId="25" priority="23" stopIfTrue="1" operator="greaterThan">
      <formula>$AL$31</formula>
    </cfRule>
  </conditionalFormatting>
  <conditionalFormatting sqref="AM35">
    <cfRule type="cellIs" dxfId="24" priority="22" stopIfTrue="1" operator="greaterThan">
      <formula>$AM$31</formula>
    </cfRule>
  </conditionalFormatting>
  <conditionalFormatting sqref="AN35">
    <cfRule type="cellIs" dxfId="23" priority="21" stopIfTrue="1" operator="greaterThan">
      <formula>$AN$31</formula>
    </cfRule>
  </conditionalFormatting>
  <conditionalFormatting sqref="AO35">
    <cfRule type="cellIs" dxfId="22" priority="20" stopIfTrue="1" operator="greaterThan">
      <formula>$AO$31</formula>
    </cfRule>
  </conditionalFormatting>
  <conditionalFormatting sqref="AP35">
    <cfRule type="cellIs" dxfId="21" priority="19" stopIfTrue="1" operator="greaterThan">
      <formula>$AP$31</formula>
    </cfRule>
  </conditionalFormatting>
  <conditionalFormatting sqref="AQ35">
    <cfRule type="cellIs" dxfId="20" priority="18" stopIfTrue="1" operator="greaterThan">
      <formula>$AQ$31</formula>
    </cfRule>
  </conditionalFormatting>
  <conditionalFormatting sqref="AR35">
    <cfRule type="cellIs" dxfId="19" priority="17" stopIfTrue="1" operator="greaterThan">
      <formula>$AR$31</formula>
    </cfRule>
  </conditionalFormatting>
  <conditionalFormatting sqref="AS35">
    <cfRule type="cellIs" dxfId="18" priority="16" stopIfTrue="1" operator="greaterThan">
      <formula>$AS$31</formula>
    </cfRule>
  </conditionalFormatting>
  <conditionalFormatting sqref="AT35">
    <cfRule type="cellIs" dxfId="17" priority="15" stopIfTrue="1" operator="greaterThan">
      <formula>$AT$31</formula>
    </cfRule>
  </conditionalFormatting>
  <conditionalFormatting sqref="AU35">
    <cfRule type="cellIs" dxfId="16" priority="14" stopIfTrue="1" operator="greaterThan">
      <formula>$AU$31</formula>
    </cfRule>
  </conditionalFormatting>
  <conditionalFormatting sqref="AV35">
    <cfRule type="cellIs" dxfId="15" priority="13" stopIfTrue="1" operator="greaterThan">
      <formula>$AV$31</formula>
    </cfRule>
  </conditionalFormatting>
  <conditionalFormatting sqref="AW35">
    <cfRule type="cellIs" dxfId="14" priority="12" stopIfTrue="1" operator="greaterThan">
      <formula>$AW$31</formula>
    </cfRule>
  </conditionalFormatting>
  <conditionalFormatting sqref="AX35">
    <cfRule type="cellIs" dxfId="13" priority="11" stopIfTrue="1" operator="greaterThan">
      <formula>$AX$31</formula>
    </cfRule>
  </conditionalFormatting>
  <conditionalFormatting sqref="AY35">
    <cfRule type="cellIs" dxfId="12" priority="10" stopIfTrue="1" operator="greaterThan">
      <formula>$AY$31</formula>
    </cfRule>
  </conditionalFormatting>
  <conditionalFormatting sqref="AZ35">
    <cfRule type="cellIs" dxfId="11" priority="9" stopIfTrue="1" operator="greaterThan">
      <formula>$AZ$31</formula>
    </cfRule>
  </conditionalFormatting>
  <conditionalFormatting sqref="BA35">
    <cfRule type="cellIs" dxfId="10" priority="8" stopIfTrue="1" operator="greaterThan">
      <formula>$BA$31</formula>
    </cfRule>
  </conditionalFormatting>
  <conditionalFormatting sqref="BB35">
    <cfRule type="cellIs" dxfId="9" priority="7" stopIfTrue="1" operator="greaterThan">
      <formula>$BB$31</formula>
    </cfRule>
  </conditionalFormatting>
  <conditionalFormatting sqref="BC35">
    <cfRule type="cellIs" dxfId="8" priority="6" stopIfTrue="1" operator="greaterThan">
      <formula>$BC$31</formula>
    </cfRule>
  </conditionalFormatting>
  <conditionalFormatting sqref="BD35">
    <cfRule type="cellIs" dxfId="7" priority="5" stopIfTrue="1" operator="greaterThan">
      <formula>$BD$31</formula>
    </cfRule>
  </conditionalFormatting>
  <conditionalFormatting sqref="BE35">
    <cfRule type="cellIs" dxfId="6" priority="4" stopIfTrue="1" operator="greaterThan">
      <formula>$BE$31</formula>
    </cfRule>
  </conditionalFormatting>
  <conditionalFormatting sqref="BF35">
    <cfRule type="cellIs" dxfId="5" priority="3" stopIfTrue="1" operator="greaterThan">
      <formula>$BF$31</formula>
    </cfRule>
  </conditionalFormatting>
  <conditionalFormatting sqref="BG35">
    <cfRule type="cellIs" dxfId="4" priority="2" stopIfTrue="1" operator="greaterThan">
      <formula>$BG$31</formula>
    </cfRule>
  </conditionalFormatting>
  <conditionalFormatting sqref="BH35">
    <cfRule type="cellIs" dxfId="3" priority="1" stopIfTrue="1" operator="greaterThan">
      <formula>$BH$31</formula>
    </cfRule>
  </conditionalFormatting>
  <dataValidations disablePrompts="1" count="1">
    <dataValidation operator="lessThan" allowBlank="1" showInputMessage="1" showErrorMessage="1" errorTitle="Error" error="Return on capital should be less than Revenue." sqref="AK35" xr:uid="{00000000-0002-0000-1200-000000000000}"/>
  </dataValidations>
  <pageMargins left="0.75" right="0.75" top="1" bottom="1" header="0.5" footer="0.5"/>
  <pageSetup paperSize="9" scale="3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17415D"/>
    <pageSetUpPr fitToPage="1"/>
  </sheetPr>
  <dimension ref="A1:H50"/>
  <sheetViews>
    <sheetView showGridLines="0" zoomScale="66" zoomScaleNormal="85" workbookViewId="0"/>
  </sheetViews>
  <sheetFormatPr defaultColWidth="9.140625" defaultRowHeight="23.25" x14ac:dyDescent="0.35"/>
  <cols>
    <col min="1" max="1" width="6.140625" style="1" customWidth="1"/>
    <col min="2" max="2" width="10.85546875" style="1" customWidth="1"/>
    <col min="3" max="3" width="26.85546875" style="1" customWidth="1"/>
    <col min="4" max="4" width="135.85546875" style="1" customWidth="1"/>
    <col min="5" max="5" width="61.42578125" style="1" customWidth="1"/>
    <col min="6" max="6" width="27.85546875" style="1" customWidth="1"/>
    <col min="7" max="7" width="19.42578125" style="1" bestFit="1" customWidth="1"/>
    <col min="8" max="8" width="8.85546875" style="1" customWidth="1"/>
    <col min="9" max="16384" width="9.140625" style="1"/>
  </cols>
  <sheetData>
    <row r="1" spans="1:8" ht="26.25" x14ac:dyDescent="0.35">
      <c r="A1" s="1" t="s">
        <v>29</v>
      </c>
      <c r="C1" s="102" t="s">
        <v>1</v>
      </c>
      <c r="D1" s="102"/>
      <c r="E1" s="102"/>
      <c r="F1" s="102"/>
      <c r="G1" s="3"/>
      <c r="H1" s="3"/>
    </row>
    <row r="2" spans="1:8" ht="20.25" customHeight="1" x14ac:dyDescent="0.35">
      <c r="B2" s="3"/>
      <c r="C2" s="102" t="str">
        <f>IF(Tradingname=0," ",Tradingname)</f>
        <v>SEA Gas Partnership</v>
      </c>
      <c r="D2" s="102"/>
      <c r="E2" s="102"/>
      <c r="F2" s="102"/>
      <c r="G2" s="3"/>
    </row>
    <row r="3" spans="1:8" ht="33.75" customHeight="1" x14ac:dyDescent="0.4">
      <c r="B3" s="3"/>
      <c r="C3" s="102" t="s">
        <v>30</v>
      </c>
      <c r="D3" s="104">
        <f>IF(Yearending=0, "01/01/2000", Yearending)</f>
        <v>45838</v>
      </c>
      <c r="E3" s="102"/>
      <c r="F3" s="103"/>
    </row>
    <row r="4" spans="1:8" ht="15" customHeight="1" x14ac:dyDescent="0.35">
      <c r="B4" s="3"/>
      <c r="C4" s="3"/>
      <c r="D4" s="3"/>
      <c r="E4" s="3"/>
      <c r="F4" s="3"/>
      <c r="G4" s="3"/>
    </row>
    <row r="5" spans="1:8" s="3" customFormat="1" ht="15" customHeight="1" thickBot="1" x14ac:dyDescent="0.25"/>
    <row r="6" spans="1:8" s="3" customFormat="1" ht="15" customHeight="1" x14ac:dyDescent="0.35">
      <c r="C6" s="143"/>
      <c r="D6" s="144"/>
      <c r="E6" s="144"/>
      <c r="F6" s="145"/>
    </row>
    <row r="7" spans="1:8" s="3" customFormat="1" ht="26.25" x14ac:dyDescent="0.4">
      <c r="C7" s="146"/>
      <c r="D7" s="390" t="s">
        <v>31</v>
      </c>
      <c r="E7" s="390"/>
      <c r="F7" s="147"/>
    </row>
    <row r="8" spans="1:8" s="3" customFormat="1" ht="25.5" x14ac:dyDescent="0.35">
      <c r="C8" s="146"/>
      <c r="D8" s="148"/>
      <c r="E8" s="148"/>
      <c r="F8" s="147"/>
    </row>
    <row r="9" spans="1:8" s="3" customFormat="1" ht="26.25" x14ac:dyDescent="0.4">
      <c r="C9" s="146"/>
      <c r="D9" s="153" t="s">
        <v>32</v>
      </c>
      <c r="E9" s="157" t="s">
        <v>33</v>
      </c>
      <c r="F9" s="147"/>
    </row>
    <row r="10" spans="1:8" s="3" customFormat="1" ht="26.25" x14ac:dyDescent="0.4">
      <c r="C10" s="146"/>
      <c r="D10" s="153"/>
      <c r="E10" s="157" t="s">
        <v>34</v>
      </c>
      <c r="F10" s="147"/>
    </row>
    <row r="11" spans="1:8" s="3" customFormat="1" ht="26.25" x14ac:dyDescent="0.4">
      <c r="C11" s="146"/>
      <c r="D11" s="153"/>
      <c r="E11" s="157" t="s">
        <v>35</v>
      </c>
      <c r="F11" s="147"/>
    </row>
    <row r="12" spans="1:8" s="3" customFormat="1" ht="25.5" x14ac:dyDescent="0.35">
      <c r="C12" s="146"/>
      <c r="D12" s="148"/>
      <c r="E12" s="148"/>
      <c r="F12" s="147"/>
    </row>
    <row r="13" spans="1:8" s="3" customFormat="1" ht="26.25" x14ac:dyDescent="0.4">
      <c r="C13" s="146"/>
      <c r="D13" s="153" t="s">
        <v>36</v>
      </c>
      <c r="E13" s="154"/>
      <c r="F13" s="147"/>
    </row>
    <row r="14" spans="1:8" s="3" customFormat="1" ht="25.5" x14ac:dyDescent="0.35">
      <c r="C14" s="146"/>
      <c r="D14" s="98"/>
      <c r="E14" s="99"/>
      <c r="F14" s="147"/>
    </row>
    <row r="15" spans="1:8" s="3" customFormat="1" ht="26.25" x14ac:dyDescent="0.4">
      <c r="C15" s="146"/>
      <c r="D15" s="153" t="s">
        <v>37</v>
      </c>
      <c r="E15" s="156" t="s">
        <v>38</v>
      </c>
      <c r="F15" s="147"/>
    </row>
    <row r="16" spans="1:8" s="3" customFormat="1" ht="26.25" x14ac:dyDescent="0.4">
      <c r="C16" s="146"/>
      <c r="D16" s="153"/>
      <c r="E16" s="156" t="s">
        <v>39</v>
      </c>
      <c r="F16" s="147"/>
    </row>
    <row r="17" spans="3:6" s="3" customFormat="1" ht="26.25" x14ac:dyDescent="0.4">
      <c r="C17" s="146"/>
      <c r="D17" s="153"/>
      <c r="E17" s="156" t="s">
        <v>40</v>
      </c>
      <c r="F17" s="147"/>
    </row>
    <row r="18" spans="3:6" s="3" customFormat="1" ht="26.25" x14ac:dyDescent="0.4">
      <c r="C18" s="146"/>
      <c r="D18" s="153"/>
      <c r="E18" s="156" t="s">
        <v>41</v>
      </c>
      <c r="F18" s="147"/>
    </row>
    <row r="19" spans="3:6" s="3" customFormat="1" ht="26.25" x14ac:dyDescent="0.4">
      <c r="C19" s="146"/>
      <c r="D19" s="153"/>
      <c r="E19" s="156" t="s">
        <v>42</v>
      </c>
      <c r="F19" s="147"/>
    </row>
    <row r="20" spans="3:6" s="3" customFormat="1" ht="25.5" customHeight="1" x14ac:dyDescent="0.35">
      <c r="C20" s="100"/>
      <c r="D20" s="98"/>
      <c r="E20" s="99"/>
      <c r="F20" s="101"/>
    </row>
    <row r="21" spans="3:6" s="3" customFormat="1" ht="25.5" customHeight="1" x14ac:dyDescent="0.4">
      <c r="C21" s="146"/>
      <c r="D21" s="153" t="s">
        <v>43</v>
      </c>
      <c r="E21" s="156" t="s">
        <v>44</v>
      </c>
      <c r="F21" s="147"/>
    </row>
    <row r="22" spans="3:6" s="3" customFormat="1" ht="25.5" customHeight="1" x14ac:dyDescent="0.4">
      <c r="C22" s="146"/>
      <c r="D22" s="153" t="s">
        <v>45</v>
      </c>
      <c r="E22" s="156" t="s">
        <v>46</v>
      </c>
      <c r="F22" s="147"/>
    </row>
    <row r="23" spans="3:6" s="3" customFormat="1" ht="25.5" customHeight="1" x14ac:dyDescent="0.4">
      <c r="C23" s="146"/>
      <c r="D23" s="153"/>
      <c r="E23" s="156" t="s">
        <v>47</v>
      </c>
      <c r="F23" s="147"/>
    </row>
    <row r="24" spans="3:6" s="3" customFormat="1" ht="25.5" customHeight="1" x14ac:dyDescent="0.4">
      <c r="C24" s="146"/>
      <c r="D24" s="153"/>
      <c r="E24" s="156" t="s">
        <v>48</v>
      </c>
      <c r="F24" s="147"/>
    </row>
    <row r="25" spans="3:6" s="3" customFormat="1" ht="25.5" x14ac:dyDescent="0.35">
      <c r="C25" s="100"/>
      <c r="D25" s="98"/>
      <c r="E25" s="99"/>
      <c r="F25" s="101"/>
    </row>
    <row r="26" spans="3:6" s="3" customFormat="1" ht="26.25" x14ac:dyDescent="0.4">
      <c r="C26" s="146"/>
      <c r="D26" s="153" t="s">
        <v>49</v>
      </c>
      <c r="E26" s="156" t="s">
        <v>50</v>
      </c>
      <c r="F26" s="147"/>
    </row>
    <row r="27" spans="3:6" s="3" customFormat="1" ht="25.5" x14ac:dyDescent="0.35">
      <c r="C27" s="100"/>
      <c r="D27" s="98"/>
      <c r="E27" s="99"/>
      <c r="F27" s="101"/>
    </row>
    <row r="28" spans="3:6" s="3" customFormat="1" ht="26.25" x14ac:dyDescent="0.4">
      <c r="C28" s="100"/>
      <c r="D28" s="153" t="s">
        <v>51</v>
      </c>
      <c r="E28" s="155"/>
      <c r="F28" s="101"/>
    </row>
    <row r="29" spans="3:6" s="3" customFormat="1" ht="25.5" x14ac:dyDescent="0.35">
      <c r="C29" s="100"/>
      <c r="D29" s="98"/>
      <c r="E29" s="99"/>
      <c r="F29" s="101"/>
    </row>
    <row r="30" spans="3:6" s="3" customFormat="1" ht="26.25" x14ac:dyDescent="0.4">
      <c r="C30" s="146"/>
      <c r="D30" s="153" t="s">
        <v>52</v>
      </c>
      <c r="E30" s="154"/>
      <c r="F30" s="147"/>
    </row>
    <row r="31" spans="3:6" s="3" customFormat="1" ht="26.25" thickBot="1" x14ac:dyDescent="0.4">
      <c r="C31" s="149"/>
      <c r="D31" s="150"/>
      <c r="E31" s="151"/>
      <c r="F31" s="152"/>
    </row>
    <row r="32" spans="3:6" s="3" customFormat="1" x14ac:dyDescent="0.2">
      <c r="C32" s="2"/>
      <c r="D32" s="2"/>
      <c r="E32" s="2"/>
      <c r="F32" s="2"/>
    </row>
    <row r="33" spans="2:6" s="3" customFormat="1" x14ac:dyDescent="0.35">
      <c r="B33" s="2"/>
      <c r="C33" s="2"/>
      <c r="D33" s="1"/>
      <c r="E33" s="1"/>
      <c r="F33" s="2"/>
    </row>
    <row r="34" spans="2:6" s="3" customFormat="1" x14ac:dyDescent="0.35">
      <c r="B34" s="2"/>
      <c r="C34" s="2"/>
      <c r="D34" s="1"/>
      <c r="E34" s="2"/>
    </row>
    <row r="35" spans="2:6" s="3" customFormat="1" x14ac:dyDescent="0.35">
      <c r="B35" s="2"/>
      <c r="C35" s="2"/>
      <c r="D35" s="1"/>
      <c r="E35" s="1"/>
      <c r="F35" s="2"/>
    </row>
    <row r="36" spans="2:6" s="3" customFormat="1" x14ac:dyDescent="0.35">
      <c r="B36" s="2"/>
      <c r="C36" s="2"/>
      <c r="D36" s="1"/>
      <c r="E36" s="1"/>
      <c r="F36" s="2"/>
    </row>
    <row r="37" spans="2:6" s="3" customFormat="1" x14ac:dyDescent="0.35">
      <c r="B37" s="2"/>
      <c r="C37" s="2"/>
      <c r="D37" s="1"/>
      <c r="E37" s="1"/>
      <c r="F37" s="2"/>
    </row>
    <row r="38" spans="2:6" s="3" customFormat="1" x14ac:dyDescent="0.35">
      <c r="B38" s="2"/>
      <c r="C38" s="2"/>
      <c r="D38" s="1"/>
      <c r="E38" s="1"/>
      <c r="F38" s="2"/>
    </row>
    <row r="39" spans="2:6" s="3" customFormat="1" x14ac:dyDescent="0.35">
      <c r="B39" s="2"/>
      <c r="C39" s="2"/>
      <c r="D39" s="1"/>
      <c r="E39" s="1"/>
      <c r="F39" s="2"/>
    </row>
    <row r="40" spans="2:6" s="3" customFormat="1" x14ac:dyDescent="0.35">
      <c r="B40" s="2"/>
      <c r="C40" s="2"/>
      <c r="D40" s="1"/>
      <c r="E40" s="1"/>
      <c r="F40" s="2"/>
    </row>
    <row r="41" spans="2:6" s="3" customFormat="1" x14ac:dyDescent="0.35">
      <c r="B41" s="2"/>
      <c r="C41" s="2"/>
      <c r="D41" s="1"/>
      <c r="E41" s="1"/>
      <c r="F41" s="2"/>
    </row>
    <row r="42" spans="2:6" s="3" customFormat="1" x14ac:dyDescent="0.35">
      <c r="B42" s="2"/>
      <c r="C42" s="2"/>
      <c r="D42" s="1"/>
      <c r="E42" s="1"/>
      <c r="F42" s="2"/>
    </row>
    <row r="43" spans="2:6" s="3" customFormat="1" x14ac:dyDescent="0.35">
      <c r="B43" s="2"/>
      <c r="C43" s="2"/>
      <c r="D43" s="1"/>
      <c r="E43" s="1"/>
      <c r="F43" s="2"/>
    </row>
    <row r="44" spans="2:6" s="3" customFormat="1" x14ac:dyDescent="0.35">
      <c r="B44" s="2"/>
      <c r="C44" s="2"/>
      <c r="D44" s="1"/>
      <c r="E44" s="1"/>
      <c r="F44" s="2"/>
    </row>
    <row r="45" spans="2:6" s="3" customFormat="1" x14ac:dyDescent="0.35">
      <c r="B45" s="2"/>
      <c r="C45" s="2"/>
      <c r="D45" s="1"/>
      <c r="E45" s="1"/>
      <c r="F45" s="2"/>
    </row>
    <row r="46" spans="2:6" s="3" customFormat="1" x14ac:dyDescent="0.35">
      <c r="B46" s="2"/>
      <c r="C46" s="2"/>
      <c r="D46" s="1"/>
      <c r="E46" s="1"/>
      <c r="F46" s="2"/>
    </row>
    <row r="47" spans="2:6" s="3" customFormat="1" x14ac:dyDescent="0.35">
      <c r="B47" s="2"/>
      <c r="C47" s="1"/>
      <c r="D47" s="1"/>
      <c r="E47" s="1"/>
      <c r="F47" s="1"/>
    </row>
    <row r="48" spans="2:6" s="3" customFormat="1" x14ac:dyDescent="0.35">
      <c r="B48" s="2"/>
      <c r="C48" s="1"/>
      <c r="D48" s="1"/>
      <c r="E48" s="1"/>
      <c r="F48" s="1"/>
    </row>
    <row r="49" spans="2:6" s="3" customFormat="1" x14ac:dyDescent="0.35">
      <c r="B49" s="2"/>
      <c r="C49" s="1"/>
      <c r="D49" s="1"/>
      <c r="E49" s="1"/>
      <c r="F49" s="1"/>
    </row>
    <row r="50" spans="2:6" s="3" customFormat="1" x14ac:dyDescent="0.35">
      <c r="B50" s="2"/>
      <c r="C50" s="1"/>
      <c r="D50" s="1"/>
      <c r="E50" s="1"/>
      <c r="F50" s="1"/>
    </row>
  </sheetData>
  <sheetProtection algorithmName="SHA-512" hashValue="wJEtBtpmuxyNU/Mv6IqeCKXK8rnJ8S/VudkOzu65dLzoXv2vjYGi3waB33e3emhYOq4Lw6aPh+wIlH1uAPz5yA==" saltValue="IAo1dHpi9Vw3hNkG3TLOAA==" spinCount="100000" sheet="1" objects="1" scenarios="1"/>
  <mergeCells count="1">
    <mergeCell ref="D7:E7"/>
  </mergeCells>
  <phoneticPr fontId="29" type="noConversion"/>
  <hyperlinks>
    <hyperlink ref="D13" location="'1. Pipeline information'!A1" display="1. PIPELINE INFORMATION" xr:uid="{00000000-0004-0000-0100-000000000000}"/>
    <hyperlink ref="E26" location="'4.1 Pipelines capex'!A1" display="4.1 Pipelines capex" xr:uid="{00000000-0004-0000-0100-000001000000}"/>
    <hyperlink ref="D28" location="'5. Historical demand'!A1" display="5. Historical demand" xr:uid="{00000000-0004-0000-0100-000002000000}"/>
    <hyperlink ref="D30" location="'6. Pricing template'!A1" display="6. PRICING TEMPLATE" xr:uid="{00000000-0004-0000-0100-000003000000}"/>
    <hyperlink ref="D15" location="'2. Revenue and expenses'!A1" display="2. REVENUE AND EXPENSES" xr:uid="{00000000-0004-0000-0100-000004000000}"/>
    <hyperlink ref="E9" location="'Financial summary'!A1" display="Financial summary" xr:uid="{00000000-0004-0000-0100-000005000000}"/>
    <hyperlink ref="E10" location="'Data visualisation'!A1" display="Data visualisation" xr:uid="{00000000-0004-0000-0100-000006000000}"/>
    <hyperlink ref="E11" location="'Pricing benchmarks summary'!A1" display="Pricing benchmarks summary" xr:uid="{00000000-0004-0000-0100-000007000000}"/>
    <hyperlink ref="E15" location="'2.1 Profit &amp; Loss by component'!A1" display="2.1 Profit &amp; Loss by component" xr:uid="{00000000-0004-0000-0100-000008000000}"/>
    <hyperlink ref="E17" location="'2.3 Revenue contributions '!A1" display="2.3 Revenue contributions " xr:uid="{00000000-0004-0000-0100-000009000000}"/>
    <hyperlink ref="E18" location="'2.4 Indirect revenue'!A1" display="2.4 Indirect revenue" xr:uid="{00000000-0004-0000-0100-00000A000000}"/>
    <hyperlink ref="E19" location="'2.5 Shared expenses'!A1" display="2.5 Shared expenses" xr:uid="{00000000-0004-0000-0100-00000B000000}"/>
    <hyperlink ref="D26" location="'4. Recovered Capital'!A1" display="4. ASSET - RECOVERED CAPITAL METHOD (RCM)" xr:uid="{00000000-0004-0000-0100-00000C000000}"/>
    <hyperlink ref="D21" location="'3.1 Depreciated Book Value'!Print_Area" display="3.1 ASSET VALUE - DEPRICIATED BOOK VALUE METHOD (DBVM)" xr:uid="{00000000-0004-0000-0100-00000D000000}"/>
    <hyperlink ref="D22" location="'3.2 Regulatory Asset Base'!Print_Area" display="3.2 ASSET VALUE - REGULATORY ASSET BASE (RAB)" xr:uid="{00000000-0004-0000-0100-00000E000000}"/>
    <hyperlink ref="E21" location="'3.3 Asset useful life'!Print_Area" display="3.3 Asset useful life" xr:uid="{00000000-0004-0000-0100-00000F000000}"/>
    <hyperlink ref="E22" location="'3.4 Asset impairment'!Print_Area" display="3.4 Asset impairment" xr:uid="{00000000-0004-0000-0100-000010000000}"/>
    <hyperlink ref="E23" location="'3.5 Depreciation amortisation'!Print_Area" display="3.5 Depreciation amortisation" xr:uid="{00000000-0004-0000-0100-000011000000}"/>
    <hyperlink ref="E24" location="'3.6 Shared supporting assets'!Print_Area" display="3.6 Shared supporting assets" xr:uid="{00000000-0004-0000-0100-000012000000}"/>
    <hyperlink ref="E16" location="'2.2 Allocation to services'!Print_Area" display="2.2 Allocation to pipeline services" xr:uid="{00000000-0004-0000-0100-000013000000}"/>
  </hyperlinks>
  <pageMargins left="0.25" right="0.25" top="0.75" bottom="0.75" header="0.3" footer="0.3"/>
  <pageSetup paperSize="9" scale="41" orientation="landscape" r:id="rId1"/>
  <headerFooter alignWithMargins="0">
    <oddFooter>&amp;L&amp;D&amp;C&amp; Template: &amp;A
&amp;F&amp;R&amp;P o&amp;Of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17415D"/>
    <pageSetUpPr fitToPage="1"/>
  </sheetPr>
  <dimension ref="B1:G98"/>
  <sheetViews>
    <sheetView zoomScaleNormal="100" workbookViewId="0">
      <pane xSplit="1" ySplit="9" topLeftCell="B10" activePane="bottomRight" state="frozen"/>
      <selection activeCell="A35" sqref="A35"/>
      <selection pane="topRight" activeCell="A35" sqref="A35"/>
      <selection pane="bottomLeft" activeCell="A35" sqref="A35"/>
      <selection pane="bottomRight" activeCell="B10" sqref="B10"/>
    </sheetView>
  </sheetViews>
  <sheetFormatPr defaultColWidth="9.140625" defaultRowHeight="12.75" x14ac:dyDescent="0.2"/>
  <cols>
    <col min="1" max="1" width="12.140625" style="205" customWidth="1"/>
    <col min="2" max="2" width="21" style="205" customWidth="1"/>
    <col min="3" max="3" width="64.85546875" style="205" customWidth="1"/>
    <col min="4" max="5" width="42.140625" style="205" customWidth="1"/>
    <col min="6" max="6" width="34.85546875" style="205" customWidth="1"/>
    <col min="7" max="7" width="44" style="205" customWidth="1"/>
    <col min="8" max="16384" width="9.140625" style="205"/>
  </cols>
  <sheetData>
    <row r="1" spans="2:5" ht="20.25" customHeight="1" x14ac:dyDescent="0.3">
      <c r="B1" s="136" t="s">
        <v>53</v>
      </c>
      <c r="C1" s="136"/>
      <c r="D1" s="204"/>
      <c r="E1" s="204"/>
    </row>
    <row r="2" spans="2:5" ht="20.25" x14ac:dyDescent="0.3">
      <c r="B2" s="136" t="str">
        <f>IF(Tradingname=0," ",Tradingname)</f>
        <v>SEA Gas Partnership</v>
      </c>
      <c r="C2" s="136"/>
      <c r="D2" s="206"/>
    </row>
    <row r="3" spans="2:5" ht="22.7" customHeight="1" x14ac:dyDescent="0.3">
      <c r="B3" s="136" t="s">
        <v>30</v>
      </c>
      <c r="C3" s="105">
        <f>IF(Yearending=0, "01/01/2000", Yearending)</f>
        <v>45838</v>
      </c>
    </row>
    <row r="4" spans="2:5" ht="20.25" x14ac:dyDescent="0.2">
      <c r="B4" s="97" t="s">
        <v>370</v>
      </c>
      <c r="C4" s="97"/>
    </row>
    <row r="6" spans="2:5" x14ac:dyDescent="0.2">
      <c r="B6" s="404" t="s">
        <v>371</v>
      </c>
      <c r="C6" s="404"/>
      <c r="D6" s="404"/>
      <c r="E6" s="404"/>
    </row>
    <row r="7" spans="2:5" ht="12.75" customHeight="1" x14ac:dyDescent="0.2">
      <c r="B7" s="404"/>
      <c r="C7" s="404"/>
      <c r="D7" s="404"/>
      <c r="E7" s="404"/>
    </row>
    <row r="8" spans="2:5" ht="12.75" customHeight="1" x14ac:dyDescent="0.2">
      <c r="B8" s="404"/>
      <c r="C8" s="404"/>
      <c r="D8" s="404"/>
      <c r="E8" s="404"/>
    </row>
    <row r="9" spans="2:5" ht="12.75" customHeight="1" x14ac:dyDescent="0.2">
      <c r="B9" s="404"/>
      <c r="C9" s="404"/>
      <c r="D9" s="404"/>
      <c r="E9" s="404"/>
    </row>
    <row r="12" spans="2:5" ht="15.75" x14ac:dyDescent="0.25">
      <c r="B12" s="207" t="s">
        <v>372</v>
      </c>
      <c r="C12" s="208"/>
      <c r="D12" s="208"/>
      <c r="E12" s="208"/>
    </row>
    <row r="13" spans="2:5" ht="15.75" x14ac:dyDescent="0.25">
      <c r="B13" s="207"/>
      <c r="C13" s="208"/>
      <c r="D13" s="208"/>
      <c r="E13" s="208"/>
    </row>
    <row r="14" spans="2:5" ht="25.5" x14ac:dyDescent="0.2">
      <c r="B14" s="46" t="s">
        <v>112</v>
      </c>
      <c r="C14" s="46" t="s">
        <v>373</v>
      </c>
      <c r="D14" s="46" t="s">
        <v>374</v>
      </c>
      <c r="E14" s="46" t="s">
        <v>375</v>
      </c>
    </row>
    <row r="15" spans="2:5" x14ac:dyDescent="0.2">
      <c r="B15" s="289"/>
      <c r="C15" s="284"/>
      <c r="D15" s="87"/>
      <c r="E15" s="78"/>
    </row>
    <row r="16" spans="2:5" x14ac:dyDescent="0.2">
      <c r="B16" s="289"/>
      <c r="C16" s="284"/>
      <c r="D16" s="87"/>
      <c r="E16" s="78"/>
    </row>
    <row r="17" spans="2:5" x14ac:dyDescent="0.2">
      <c r="B17" s="289"/>
      <c r="C17" s="284"/>
      <c r="D17" s="87"/>
      <c r="E17" s="78"/>
    </row>
    <row r="18" spans="2:5" x14ac:dyDescent="0.2">
      <c r="B18" s="289"/>
      <c r="C18" s="284"/>
      <c r="D18" s="87"/>
      <c r="E18" s="78"/>
    </row>
    <row r="19" spans="2:5" x14ac:dyDescent="0.2">
      <c r="B19" s="289"/>
      <c r="C19" s="284"/>
      <c r="D19" s="87"/>
      <c r="E19" s="78"/>
    </row>
    <row r="20" spans="2:5" x14ac:dyDescent="0.2">
      <c r="B20" s="289"/>
      <c r="C20" s="284"/>
      <c r="D20" s="87"/>
      <c r="E20" s="78"/>
    </row>
    <row r="21" spans="2:5" x14ac:dyDescent="0.2">
      <c r="B21" s="289"/>
      <c r="C21" s="284"/>
      <c r="D21" s="87"/>
      <c r="E21" s="78"/>
    </row>
    <row r="22" spans="2:5" x14ac:dyDescent="0.2">
      <c r="B22" s="289"/>
      <c r="C22" s="284"/>
      <c r="D22" s="87"/>
      <c r="E22" s="78"/>
    </row>
    <row r="23" spans="2:5" x14ac:dyDescent="0.2">
      <c r="B23" s="289"/>
      <c r="C23" s="284"/>
      <c r="D23" s="87"/>
      <c r="E23" s="78"/>
    </row>
    <row r="24" spans="2:5" x14ac:dyDescent="0.2">
      <c r="B24" s="289"/>
      <c r="C24" s="284"/>
      <c r="D24" s="87"/>
      <c r="E24" s="78"/>
    </row>
    <row r="25" spans="2:5" x14ac:dyDescent="0.2">
      <c r="B25" s="289"/>
      <c r="C25" s="284"/>
      <c r="D25" s="87"/>
      <c r="E25" s="78"/>
    </row>
    <row r="26" spans="2:5" x14ac:dyDescent="0.2">
      <c r="B26" s="289"/>
      <c r="C26" s="284"/>
      <c r="D26" s="87"/>
      <c r="E26" s="78"/>
    </row>
    <row r="27" spans="2:5" x14ac:dyDescent="0.2">
      <c r="B27" s="289"/>
      <c r="C27" s="284"/>
      <c r="D27" s="87"/>
      <c r="E27" s="78"/>
    </row>
    <row r="28" spans="2:5" x14ac:dyDescent="0.2">
      <c r="B28" s="289"/>
      <c r="C28" s="284"/>
      <c r="D28" s="87"/>
      <c r="E28" s="78"/>
    </row>
    <row r="29" spans="2:5" x14ac:dyDescent="0.2">
      <c r="B29" s="289"/>
      <c r="C29" s="284"/>
      <c r="D29" s="87"/>
      <c r="E29" s="78"/>
    </row>
    <row r="30" spans="2:5" x14ac:dyDescent="0.2">
      <c r="B30" s="289"/>
      <c r="C30" s="284"/>
      <c r="D30" s="87"/>
      <c r="E30" s="78"/>
    </row>
    <row r="31" spans="2:5" x14ac:dyDescent="0.2">
      <c r="B31" s="289"/>
      <c r="C31" s="284"/>
      <c r="D31" s="87"/>
      <c r="E31" s="78"/>
    </row>
    <row r="32" spans="2:5" x14ac:dyDescent="0.2">
      <c r="B32" s="289"/>
      <c r="C32" s="284"/>
      <c r="D32" s="87"/>
      <c r="E32" s="78"/>
    </row>
    <row r="33" spans="2:5" x14ac:dyDescent="0.2">
      <c r="B33" s="289"/>
      <c r="C33" s="284"/>
      <c r="D33" s="87"/>
      <c r="E33" s="78"/>
    </row>
    <row r="34" spans="2:5" x14ac:dyDescent="0.2">
      <c r="B34" s="289"/>
      <c r="C34" s="284"/>
      <c r="D34" s="87"/>
      <c r="E34" s="78"/>
    </row>
    <row r="35" spans="2:5" x14ac:dyDescent="0.2">
      <c r="B35" s="289"/>
      <c r="C35" s="284"/>
      <c r="D35" s="87"/>
      <c r="E35" s="78"/>
    </row>
    <row r="36" spans="2:5" x14ac:dyDescent="0.2">
      <c r="B36" s="289"/>
      <c r="C36" s="284"/>
      <c r="D36" s="87"/>
      <c r="E36" s="78"/>
    </row>
    <row r="37" spans="2:5" x14ac:dyDescent="0.2">
      <c r="B37" s="289"/>
      <c r="C37" s="284"/>
      <c r="D37" s="87"/>
      <c r="E37" s="78"/>
    </row>
    <row r="38" spans="2:5" x14ac:dyDescent="0.2">
      <c r="B38" s="289"/>
      <c r="C38" s="284"/>
      <c r="D38" s="87"/>
      <c r="E38" s="78"/>
    </row>
    <row r="39" spans="2:5" x14ac:dyDescent="0.2">
      <c r="B39" s="289"/>
      <c r="C39" s="284"/>
      <c r="D39" s="87"/>
      <c r="E39" s="78"/>
    </row>
    <row r="40" spans="2:5" x14ac:dyDescent="0.2">
      <c r="B40" s="289"/>
      <c r="C40" s="284"/>
      <c r="D40" s="87"/>
      <c r="E40" s="78"/>
    </row>
    <row r="41" spans="2:5" x14ac:dyDescent="0.2">
      <c r="B41" s="419" t="s">
        <v>376</v>
      </c>
      <c r="C41" s="420"/>
      <c r="D41" s="421"/>
      <c r="E41" s="209">
        <f>SUM(E15:E40)</f>
        <v>0</v>
      </c>
    </row>
    <row r="44" spans="2:5" ht="15.75" x14ac:dyDescent="0.25">
      <c r="B44" s="207" t="s">
        <v>377</v>
      </c>
      <c r="C44" s="208"/>
      <c r="D44" s="208"/>
      <c r="E44" s="208"/>
    </row>
    <row r="45" spans="2:5" ht="15.75" x14ac:dyDescent="0.25">
      <c r="B45" s="207"/>
      <c r="C45" s="208"/>
      <c r="D45" s="208"/>
      <c r="E45" s="208"/>
    </row>
    <row r="46" spans="2:5" ht="25.5" x14ac:dyDescent="0.2">
      <c r="B46" s="46" t="s">
        <v>112</v>
      </c>
      <c r="C46" s="46" t="s">
        <v>373</v>
      </c>
      <c r="D46" s="46" t="s">
        <v>374</v>
      </c>
      <c r="E46" s="46" t="s">
        <v>375</v>
      </c>
    </row>
    <row r="47" spans="2:5" x14ac:dyDescent="0.2">
      <c r="B47" s="80"/>
      <c r="C47" s="284"/>
      <c r="D47" s="87"/>
      <c r="E47" s="78"/>
    </row>
    <row r="48" spans="2:5" x14ac:dyDescent="0.2">
      <c r="B48" s="80"/>
      <c r="C48" s="284"/>
      <c r="D48" s="87"/>
      <c r="E48" s="78"/>
    </row>
    <row r="49" spans="2:5" x14ac:dyDescent="0.2">
      <c r="B49" s="80"/>
      <c r="C49" s="284"/>
      <c r="D49" s="87"/>
      <c r="E49" s="78"/>
    </row>
    <row r="50" spans="2:5" x14ac:dyDescent="0.2">
      <c r="B50" s="80"/>
      <c r="C50" s="284"/>
      <c r="D50" s="87"/>
      <c r="E50" s="78"/>
    </row>
    <row r="51" spans="2:5" x14ac:dyDescent="0.2">
      <c r="B51" s="80"/>
      <c r="C51" s="284"/>
      <c r="D51" s="87"/>
      <c r="E51" s="78"/>
    </row>
    <row r="52" spans="2:5" x14ac:dyDescent="0.2">
      <c r="B52" s="80"/>
      <c r="C52" s="284"/>
      <c r="D52" s="87"/>
      <c r="E52" s="78"/>
    </row>
    <row r="53" spans="2:5" x14ac:dyDescent="0.2">
      <c r="B53" s="80"/>
      <c r="C53" s="284"/>
      <c r="D53" s="87"/>
      <c r="E53" s="78"/>
    </row>
    <row r="54" spans="2:5" x14ac:dyDescent="0.2">
      <c r="B54" s="80"/>
      <c r="C54" s="284"/>
      <c r="D54" s="87"/>
      <c r="E54" s="78"/>
    </row>
    <row r="55" spans="2:5" x14ac:dyDescent="0.2">
      <c r="B55" s="80"/>
      <c r="C55" s="284"/>
      <c r="D55" s="87"/>
      <c r="E55" s="78"/>
    </row>
    <row r="56" spans="2:5" x14ac:dyDescent="0.2">
      <c r="B56" s="80"/>
      <c r="C56" s="284"/>
      <c r="D56" s="87"/>
      <c r="E56" s="78"/>
    </row>
    <row r="57" spans="2:5" x14ac:dyDescent="0.2">
      <c r="B57" s="80"/>
      <c r="C57" s="284"/>
      <c r="D57" s="87"/>
      <c r="E57" s="78"/>
    </row>
    <row r="58" spans="2:5" x14ac:dyDescent="0.2">
      <c r="B58" s="80"/>
      <c r="C58" s="284"/>
      <c r="D58" s="87"/>
      <c r="E58" s="78"/>
    </row>
    <row r="59" spans="2:5" x14ac:dyDescent="0.2">
      <c r="B59" s="80"/>
      <c r="C59" s="284"/>
      <c r="D59" s="87"/>
      <c r="E59" s="78"/>
    </row>
    <row r="60" spans="2:5" x14ac:dyDescent="0.2">
      <c r="B60" s="80"/>
      <c r="C60" s="284"/>
      <c r="D60" s="87"/>
      <c r="E60" s="78"/>
    </row>
    <row r="61" spans="2:5" x14ac:dyDescent="0.2">
      <c r="B61" s="80"/>
      <c r="C61" s="284"/>
      <c r="D61" s="87"/>
      <c r="E61" s="78"/>
    </row>
    <row r="62" spans="2:5" x14ac:dyDescent="0.2">
      <c r="B62" s="80"/>
      <c r="C62" s="284"/>
      <c r="D62" s="87"/>
      <c r="E62" s="78"/>
    </row>
    <row r="63" spans="2:5" x14ac:dyDescent="0.2">
      <c r="B63" s="80"/>
      <c r="C63" s="284"/>
      <c r="D63" s="87"/>
      <c r="E63" s="78"/>
    </row>
    <row r="64" spans="2:5" x14ac:dyDescent="0.2">
      <c r="B64" s="80"/>
      <c r="C64" s="284"/>
      <c r="D64" s="87"/>
      <c r="E64" s="78"/>
    </row>
    <row r="65" spans="2:7" x14ac:dyDescent="0.2">
      <c r="B65" s="80"/>
      <c r="C65" s="284"/>
      <c r="D65" s="87"/>
      <c r="E65" s="78"/>
    </row>
    <row r="66" spans="2:7" x14ac:dyDescent="0.2">
      <c r="B66" s="80"/>
      <c r="C66" s="284"/>
      <c r="D66" s="87"/>
      <c r="E66" s="78"/>
    </row>
    <row r="67" spans="2:7" x14ac:dyDescent="0.2">
      <c r="B67" s="80"/>
      <c r="C67" s="284"/>
      <c r="D67" s="87"/>
      <c r="E67" s="78"/>
    </row>
    <row r="68" spans="2:7" x14ac:dyDescent="0.2">
      <c r="B68" s="80"/>
      <c r="C68" s="284"/>
      <c r="D68" s="87"/>
      <c r="E68" s="78"/>
    </row>
    <row r="69" spans="2:7" x14ac:dyDescent="0.2">
      <c r="B69" s="80"/>
      <c r="C69" s="284"/>
      <c r="D69" s="87"/>
      <c r="E69" s="78"/>
    </row>
    <row r="70" spans="2:7" x14ac:dyDescent="0.2">
      <c r="B70" s="80"/>
      <c r="C70" s="284"/>
      <c r="D70" s="87"/>
      <c r="E70" s="78"/>
    </row>
    <row r="71" spans="2:7" x14ac:dyDescent="0.2">
      <c r="B71" s="80"/>
      <c r="C71" s="284"/>
      <c r="D71" s="87"/>
      <c r="E71" s="78"/>
    </row>
    <row r="72" spans="2:7" x14ac:dyDescent="0.2">
      <c r="B72" s="80"/>
      <c r="C72" s="284"/>
      <c r="D72" s="87"/>
      <c r="E72" s="78"/>
    </row>
    <row r="73" spans="2:7" x14ac:dyDescent="0.2">
      <c r="B73" s="419" t="s">
        <v>376</v>
      </c>
      <c r="C73" s="420"/>
      <c r="D73" s="421"/>
      <c r="E73" s="209">
        <f>SUM(E47:E72)</f>
        <v>0</v>
      </c>
    </row>
    <row r="76" spans="2:7" ht="15.75" x14ac:dyDescent="0.25">
      <c r="B76" s="210" t="s">
        <v>378</v>
      </c>
      <c r="C76" s="208"/>
      <c r="D76" s="208"/>
      <c r="E76" s="208"/>
      <c r="F76" s="211"/>
      <c r="G76" s="208"/>
    </row>
    <row r="77" spans="2:7" ht="15.75" x14ac:dyDescent="0.25">
      <c r="B77" s="207"/>
      <c r="C77" s="208"/>
      <c r="D77" s="208"/>
      <c r="E77" s="208"/>
      <c r="F77" s="211"/>
      <c r="G77" s="208"/>
    </row>
    <row r="78" spans="2:7" ht="42" customHeight="1" x14ac:dyDescent="0.2">
      <c r="B78" s="46" t="s">
        <v>112</v>
      </c>
      <c r="C78" s="46" t="s">
        <v>379</v>
      </c>
      <c r="D78" s="46" t="s">
        <v>380</v>
      </c>
      <c r="E78" s="58" t="s">
        <v>381</v>
      </c>
      <c r="F78" s="58" t="s">
        <v>382</v>
      </c>
      <c r="G78" s="58" t="s">
        <v>383</v>
      </c>
    </row>
    <row r="79" spans="2:7" x14ac:dyDescent="0.2">
      <c r="B79" s="95"/>
      <c r="C79" s="46"/>
      <c r="D79" s="62"/>
      <c r="E79" s="62"/>
      <c r="F79" s="62" t="s">
        <v>384</v>
      </c>
      <c r="G79" s="62" t="s">
        <v>115</v>
      </c>
    </row>
    <row r="80" spans="2:7" x14ac:dyDescent="0.2">
      <c r="B80" s="77"/>
      <c r="C80" s="285"/>
      <c r="D80" s="78"/>
      <c r="E80" s="78"/>
      <c r="F80" s="79"/>
      <c r="G80" s="73"/>
    </row>
    <row r="81" spans="2:7" x14ac:dyDescent="0.2">
      <c r="B81" s="77"/>
      <c r="C81" s="285"/>
      <c r="D81" s="78"/>
      <c r="E81" s="78"/>
      <c r="F81" s="79"/>
      <c r="G81" s="73"/>
    </row>
    <row r="82" spans="2:7" x14ac:dyDescent="0.2">
      <c r="B82" s="77"/>
      <c r="C82" s="285"/>
      <c r="D82" s="78"/>
      <c r="E82" s="78"/>
      <c r="F82" s="79"/>
      <c r="G82" s="73"/>
    </row>
    <row r="83" spans="2:7" x14ac:dyDescent="0.2">
      <c r="B83" s="77"/>
      <c r="C83" s="285"/>
      <c r="D83" s="78"/>
      <c r="E83" s="78"/>
      <c r="F83" s="79"/>
      <c r="G83" s="73"/>
    </row>
    <row r="84" spans="2:7" x14ac:dyDescent="0.2">
      <c r="B84" s="77"/>
      <c r="C84" s="285"/>
      <c r="D84" s="78"/>
      <c r="E84" s="78"/>
      <c r="F84" s="79"/>
      <c r="G84" s="73"/>
    </row>
    <row r="85" spans="2:7" x14ac:dyDescent="0.2">
      <c r="B85" s="77"/>
      <c r="C85" s="285"/>
      <c r="D85" s="78"/>
      <c r="E85" s="78"/>
      <c r="F85" s="79"/>
      <c r="G85" s="73"/>
    </row>
    <row r="86" spans="2:7" x14ac:dyDescent="0.2">
      <c r="B86" s="77"/>
      <c r="C86" s="285"/>
      <c r="D86" s="78"/>
      <c r="E86" s="78"/>
      <c r="F86" s="79"/>
      <c r="G86" s="73"/>
    </row>
    <row r="87" spans="2:7" x14ac:dyDescent="0.2">
      <c r="B87" s="77"/>
      <c r="C87" s="285"/>
      <c r="D87" s="78"/>
      <c r="E87" s="78"/>
      <c r="F87" s="79"/>
      <c r="G87" s="73"/>
    </row>
    <row r="88" spans="2:7" x14ac:dyDescent="0.2">
      <c r="B88" s="77"/>
      <c r="C88" s="285"/>
      <c r="D88" s="78"/>
      <c r="E88" s="78"/>
      <c r="F88" s="79"/>
      <c r="G88" s="73"/>
    </row>
    <row r="89" spans="2:7" x14ac:dyDescent="0.2">
      <c r="B89" s="77"/>
      <c r="C89" s="285"/>
      <c r="D89" s="78"/>
      <c r="E89" s="78"/>
      <c r="F89" s="79"/>
      <c r="G89" s="73"/>
    </row>
    <row r="90" spans="2:7" x14ac:dyDescent="0.2">
      <c r="B90" s="77"/>
      <c r="C90" s="285"/>
      <c r="D90" s="78"/>
      <c r="E90" s="78"/>
      <c r="F90" s="79"/>
      <c r="G90" s="73"/>
    </row>
    <row r="91" spans="2:7" x14ac:dyDescent="0.2">
      <c r="B91" s="77"/>
      <c r="C91" s="285"/>
      <c r="D91" s="78"/>
      <c r="E91" s="78"/>
      <c r="F91" s="79"/>
      <c r="G91" s="73"/>
    </row>
    <row r="92" spans="2:7" x14ac:dyDescent="0.2">
      <c r="B92" s="77"/>
      <c r="C92" s="285"/>
      <c r="D92" s="78"/>
      <c r="E92" s="78"/>
      <c r="F92" s="79"/>
      <c r="G92" s="73"/>
    </row>
    <row r="93" spans="2:7" x14ac:dyDescent="0.2">
      <c r="B93" s="77"/>
      <c r="C93" s="285"/>
      <c r="D93" s="78"/>
      <c r="E93" s="78"/>
      <c r="F93" s="79"/>
      <c r="G93" s="73"/>
    </row>
    <row r="94" spans="2:7" x14ac:dyDescent="0.2">
      <c r="B94" s="77"/>
      <c r="C94" s="285"/>
      <c r="D94" s="78"/>
      <c r="E94" s="78"/>
      <c r="F94" s="79"/>
      <c r="G94" s="73"/>
    </row>
    <row r="95" spans="2:7" x14ac:dyDescent="0.2">
      <c r="B95" s="77"/>
      <c r="C95" s="285"/>
      <c r="D95" s="78"/>
      <c r="E95" s="78"/>
      <c r="F95" s="79"/>
      <c r="G95" s="73"/>
    </row>
    <row r="96" spans="2:7" x14ac:dyDescent="0.2">
      <c r="B96" s="77"/>
      <c r="C96" s="285"/>
      <c r="D96" s="78"/>
      <c r="E96" s="78"/>
      <c r="F96" s="79"/>
      <c r="G96" s="73"/>
    </row>
    <row r="97" spans="2:7" x14ac:dyDescent="0.2">
      <c r="B97" s="77"/>
      <c r="C97" s="285"/>
      <c r="D97" s="78"/>
      <c r="E97" s="78"/>
      <c r="F97" s="79"/>
      <c r="G97" s="73"/>
    </row>
    <row r="98" spans="2:7" x14ac:dyDescent="0.2">
      <c r="B98" s="417" t="s">
        <v>385</v>
      </c>
      <c r="C98" s="418"/>
      <c r="D98" s="418"/>
      <c r="E98" s="418"/>
      <c r="F98" s="418"/>
      <c r="G98" s="96">
        <f>SUM(G80:G97)</f>
        <v>0</v>
      </c>
    </row>
  </sheetData>
  <sheetProtection algorithmName="SHA-512" hashValue="G4FkhNdXR90mpOj7P1xdoJALi+ZqJBBhFHCxe58awXA7iGxCk86rKrYuZcorQQOgA0Mau0pZWio01xNOr2++1A==" saltValue="bKpnWNU+GA9oXvdu7lNLIg==" spinCount="100000" sheet="1" objects="1" scenarios="1"/>
  <mergeCells count="4">
    <mergeCell ref="B98:F98"/>
    <mergeCell ref="B41:D41"/>
    <mergeCell ref="B6:E9"/>
    <mergeCell ref="B73:D73"/>
  </mergeCells>
  <pageMargins left="0.75" right="0.75" top="1" bottom="1" header="0.5" footer="0.5"/>
  <pageSetup paperSize="9" scale="6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17415D"/>
    <pageSetUpPr fitToPage="1"/>
  </sheetPr>
  <dimension ref="B1:I408"/>
  <sheetViews>
    <sheetView showGridLines="0" zoomScaleNormal="100" workbookViewId="0">
      <pane xSplit="1" ySplit="9" topLeftCell="B10" activePane="bottomRight" state="frozen"/>
      <selection activeCell="A35" sqref="A35"/>
      <selection pane="topRight" activeCell="A35" sqref="A35"/>
      <selection pane="bottomLeft" activeCell="A35" sqref="A35"/>
      <selection pane="bottomRight" activeCell="B10" sqref="B10"/>
    </sheetView>
  </sheetViews>
  <sheetFormatPr defaultColWidth="8.85546875" defaultRowHeight="12.75" x14ac:dyDescent="0.2"/>
  <cols>
    <col min="1" max="1" width="11.42578125" customWidth="1"/>
    <col min="2" max="2" width="47.42578125" customWidth="1"/>
    <col min="3" max="3" width="15.85546875" customWidth="1"/>
    <col min="4" max="9" width="14.85546875" customWidth="1"/>
    <col min="10" max="60" width="10.85546875" customWidth="1"/>
    <col min="62" max="62" width="13.5703125" customWidth="1"/>
  </cols>
  <sheetData>
    <row r="1" spans="2:4" ht="20.25" x14ac:dyDescent="0.2">
      <c r="B1" s="136" t="s">
        <v>53</v>
      </c>
      <c r="C1" s="136"/>
    </row>
    <row r="2" spans="2:4" ht="25.5" customHeight="1" x14ac:dyDescent="0.2">
      <c r="B2" s="136" t="str">
        <f>IF(Tradingname=0," ",Tradingname)</f>
        <v>SEA Gas Partnership</v>
      </c>
      <c r="C2" s="136"/>
    </row>
    <row r="3" spans="2:4" ht="19.5" customHeight="1" x14ac:dyDescent="0.3">
      <c r="B3" s="136" t="s">
        <v>30</v>
      </c>
      <c r="C3" s="105">
        <f>IF(Yearending=0, "01/01/2000", Yearending)</f>
        <v>45838</v>
      </c>
    </row>
    <row r="4" spans="2:4" ht="20.25" x14ac:dyDescent="0.2">
      <c r="B4" s="97" t="s">
        <v>72</v>
      </c>
      <c r="C4" s="97"/>
    </row>
    <row r="5" spans="2:4" ht="12" customHeight="1" x14ac:dyDescent="0.2"/>
    <row r="6" spans="2:4" ht="12" customHeight="1" x14ac:dyDescent="0.2">
      <c r="B6" s="404" t="s">
        <v>386</v>
      </c>
      <c r="C6" s="404"/>
      <c r="D6" s="404"/>
    </row>
    <row r="7" spans="2:4" ht="12" customHeight="1" x14ac:dyDescent="0.2">
      <c r="B7" s="404"/>
      <c r="C7" s="404"/>
      <c r="D7" s="404"/>
    </row>
    <row r="8" spans="2:4" ht="12" customHeight="1" x14ac:dyDescent="0.2">
      <c r="B8" s="404"/>
      <c r="C8" s="404"/>
      <c r="D8" s="404"/>
    </row>
    <row r="9" spans="2:4" ht="12" customHeight="1" x14ac:dyDescent="0.2">
      <c r="B9" s="404"/>
      <c r="C9" s="404"/>
      <c r="D9" s="404"/>
    </row>
    <row r="10" spans="2:4" ht="12" customHeight="1" x14ac:dyDescent="0.2"/>
    <row r="11" spans="2:4" ht="12" customHeight="1" x14ac:dyDescent="0.2"/>
    <row r="12" spans="2:4" ht="15.75" x14ac:dyDescent="0.25">
      <c r="B12" s="197" t="s">
        <v>387</v>
      </c>
    </row>
    <row r="14" spans="2:4" ht="51" x14ac:dyDescent="0.2">
      <c r="B14" s="60" t="s">
        <v>112</v>
      </c>
      <c r="C14" s="59" t="s">
        <v>388</v>
      </c>
      <c r="D14" s="59" t="s">
        <v>389</v>
      </c>
    </row>
    <row r="15" spans="2:4" x14ac:dyDescent="0.2">
      <c r="B15" s="298" t="s">
        <v>771</v>
      </c>
      <c r="C15" s="312" t="s">
        <v>766</v>
      </c>
      <c r="D15" s="313" t="s">
        <v>768</v>
      </c>
    </row>
    <row r="16" spans="2:4" x14ac:dyDescent="0.2">
      <c r="B16" s="298" t="s">
        <v>772</v>
      </c>
      <c r="C16" s="312" t="s">
        <v>766</v>
      </c>
      <c r="D16" s="313" t="s">
        <v>769</v>
      </c>
    </row>
    <row r="17" spans="2:6" x14ac:dyDescent="0.2">
      <c r="B17" s="298" t="s">
        <v>773</v>
      </c>
      <c r="C17" s="312" t="s">
        <v>767</v>
      </c>
      <c r="D17" s="313" t="s">
        <v>768</v>
      </c>
    </row>
    <row r="18" spans="2:6" x14ac:dyDescent="0.2">
      <c r="B18" s="298" t="s">
        <v>774</v>
      </c>
      <c r="C18" s="312" t="s">
        <v>767</v>
      </c>
      <c r="D18" s="313" t="s">
        <v>770</v>
      </c>
    </row>
    <row r="19" spans="2:6" x14ac:dyDescent="0.2">
      <c r="B19" s="298"/>
      <c r="C19" s="110"/>
      <c r="D19" s="110"/>
    </row>
    <row r="22" spans="2:6" ht="15.75" x14ac:dyDescent="0.25">
      <c r="B22" s="197" t="s">
        <v>390</v>
      </c>
    </row>
    <row r="24" spans="2:6" s="9" customFormat="1" x14ac:dyDescent="0.2">
      <c r="B24" s="107"/>
      <c r="C24" s="108" t="s">
        <v>391</v>
      </c>
    </row>
    <row r="25" spans="2:6" s="9" customFormat="1" x14ac:dyDescent="0.2">
      <c r="B25" s="107"/>
      <c r="C25" s="107" t="s">
        <v>392</v>
      </c>
      <c r="D25" s="196"/>
    </row>
    <row r="26" spans="2:6" ht="14.25" x14ac:dyDescent="0.2">
      <c r="B26" s="118" t="s">
        <v>78</v>
      </c>
      <c r="C26" s="314">
        <v>79.517240000000257</v>
      </c>
      <c r="D26" s="195"/>
      <c r="E26" s="15"/>
      <c r="F26" s="15"/>
    </row>
    <row r="27" spans="2:6" ht="14.25" x14ac:dyDescent="0.2">
      <c r="B27" s="118" t="s">
        <v>80</v>
      </c>
      <c r="C27" s="314">
        <v>0</v>
      </c>
      <c r="D27" s="195"/>
      <c r="E27" s="15"/>
      <c r="F27" s="15"/>
    </row>
    <row r="28" spans="2:6" ht="14.25" x14ac:dyDescent="0.2">
      <c r="B28" s="118" t="s">
        <v>81</v>
      </c>
      <c r="C28" s="314">
        <v>0</v>
      </c>
      <c r="D28" s="195"/>
      <c r="E28" s="15"/>
      <c r="F28" s="15"/>
    </row>
    <row r="29" spans="2:6" ht="14.25" x14ac:dyDescent="0.2">
      <c r="B29" s="118" t="s">
        <v>82</v>
      </c>
      <c r="C29" s="314">
        <v>0</v>
      </c>
      <c r="D29" s="195"/>
      <c r="E29" s="15"/>
      <c r="F29" s="15"/>
    </row>
    <row r="30" spans="2:6" ht="25.5" x14ac:dyDescent="0.2">
      <c r="B30" s="194" t="s">
        <v>83</v>
      </c>
      <c r="C30" s="314">
        <v>0</v>
      </c>
      <c r="D30" s="195"/>
      <c r="E30" s="15"/>
      <c r="F30" s="15"/>
    </row>
    <row r="31" spans="2:6" ht="14.25" x14ac:dyDescent="0.2">
      <c r="B31" s="118" t="s">
        <v>84</v>
      </c>
      <c r="C31" s="314">
        <v>181.36232876712234</v>
      </c>
      <c r="D31" s="195"/>
      <c r="E31" s="15"/>
      <c r="F31" s="15"/>
    </row>
    <row r="32" spans="2:6" ht="14.25" x14ac:dyDescent="0.2">
      <c r="B32" s="118" t="s">
        <v>85</v>
      </c>
      <c r="C32" s="314">
        <v>0</v>
      </c>
      <c r="D32" s="195"/>
      <c r="E32" s="15"/>
      <c r="F32" s="15"/>
    </row>
    <row r="33" spans="2:9" x14ac:dyDescent="0.2">
      <c r="B33" s="118" t="s">
        <v>86</v>
      </c>
      <c r="C33" s="314">
        <v>0</v>
      </c>
      <c r="D33" s="15"/>
      <c r="E33" s="15"/>
      <c r="F33" s="15"/>
    </row>
    <row r="34" spans="2:9" x14ac:dyDescent="0.2">
      <c r="B34" s="118" t="s">
        <v>88</v>
      </c>
      <c r="C34" s="314">
        <v>0</v>
      </c>
      <c r="D34" s="15"/>
      <c r="E34" s="15"/>
      <c r="F34" s="15"/>
    </row>
    <row r="35" spans="2:9" x14ac:dyDescent="0.2">
      <c r="B35" s="118" t="s">
        <v>90</v>
      </c>
      <c r="C35" s="78"/>
    </row>
    <row r="38" spans="2:9" ht="15.75" x14ac:dyDescent="0.25">
      <c r="B38" s="197" t="s">
        <v>393</v>
      </c>
    </row>
    <row r="40" spans="2:9" s="9" customFormat="1" ht="38.25" x14ac:dyDescent="0.2">
      <c r="B40" s="107"/>
      <c r="C40" s="108" t="s">
        <v>394</v>
      </c>
      <c r="D40" s="108" t="s">
        <v>395</v>
      </c>
      <c r="E40" s="108" t="s">
        <v>396</v>
      </c>
      <c r="F40" s="108" t="s">
        <v>97</v>
      </c>
      <c r="G40" s="108" t="s">
        <v>397</v>
      </c>
      <c r="H40" s="108" t="s">
        <v>398</v>
      </c>
      <c r="I40" s="108" t="s">
        <v>399</v>
      </c>
    </row>
    <row r="41" spans="2:9" s="9" customFormat="1" x14ac:dyDescent="0.2">
      <c r="B41" s="107"/>
      <c r="C41" s="109" t="s">
        <v>392</v>
      </c>
      <c r="D41" s="109" t="s">
        <v>392</v>
      </c>
      <c r="E41" s="109" t="s">
        <v>392</v>
      </c>
      <c r="F41" s="109" t="s">
        <v>392</v>
      </c>
      <c r="G41" s="108"/>
      <c r="H41" s="108"/>
      <c r="I41" s="108"/>
    </row>
    <row r="42" spans="2:9" x14ac:dyDescent="0.2">
      <c r="B42" s="193" t="s">
        <v>56</v>
      </c>
      <c r="C42" s="22">
        <f>SUM(C43:C408)</f>
        <v>29023.792600000092</v>
      </c>
      <c r="D42" s="22">
        <f>SUM(D43:D408)</f>
        <v>22826.637931034587</v>
      </c>
      <c r="E42" s="22">
        <f>SUM(E43:E408)</f>
        <v>30570.504241379309</v>
      </c>
      <c r="F42" s="22" t="s">
        <v>400</v>
      </c>
      <c r="G42" s="22">
        <f>SUM(G43:G408)</f>
        <v>84039.488689655191</v>
      </c>
      <c r="H42" s="22">
        <f>SUM(H43:H408)</f>
        <v>62759.562399999755</v>
      </c>
      <c r="I42" s="22">
        <f>SUM(I43:I408)</f>
        <v>21279.92628965517</v>
      </c>
    </row>
    <row r="43" spans="2:9" x14ac:dyDescent="0.2">
      <c r="B43" s="192">
        <f>IF(Yearstart=0, "1/01/1999", Yearstart)</f>
        <v>45474</v>
      </c>
      <c r="C43" s="315">
        <v>79.517240000000001</v>
      </c>
      <c r="D43" s="315">
        <v>63.051724137931032</v>
      </c>
      <c r="E43" s="315">
        <v>117.1216551724138</v>
      </c>
      <c r="F43" s="315">
        <v>313.99972413793103</v>
      </c>
      <c r="G43" s="22">
        <f>F43-E43</f>
        <v>196.87806896551723</v>
      </c>
      <c r="H43" s="22">
        <f>'5. Historical demand'!F43-'5. Historical demand'!C43-'5. Historical demand'!D43</f>
        <v>171.43075999999996</v>
      </c>
      <c r="I43" s="22">
        <f>C43+D43-E43</f>
        <v>25.447308965517237</v>
      </c>
    </row>
    <row r="44" spans="2:9" x14ac:dyDescent="0.2">
      <c r="B44" s="192">
        <f t="shared" ref="B44:B107" si="0">IFERROR(IF(Yearending&gt;B43, B43+1, ""),"")</f>
        <v>45475</v>
      </c>
      <c r="C44" s="315">
        <v>79.517240000000001</v>
      </c>
      <c r="D44" s="315">
        <v>63.051724137931032</v>
      </c>
      <c r="E44" s="315">
        <v>110.33937931034484</v>
      </c>
      <c r="F44" s="315">
        <v>313.99972413793103</v>
      </c>
      <c r="G44" s="22">
        <f t="shared" ref="G44:G107" si="1">IFERROR(IF(Yearending&gt;B43,F44-E44,""),"")</f>
        <v>203.66034482758619</v>
      </c>
      <c r="H44" s="22">
        <f>IFERROR(IF(Yearending&gt;B43,'5. Historical demand'!F44-'5. Historical demand'!C44-'5. Historical demand'!D44,""),"")</f>
        <v>171.43075999999996</v>
      </c>
      <c r="I44" s="22">
        <f t="shared" ref="I44:I107" si="2">IFERROR(IF(Yearending&gt;B43,C44+D44-E44,""),"")</f>
        <v>32.229584827586194</v>
      </c>
    </row>
    <row r="45" spans="2:9" x14ac:dyDescent="0.2">
      <c r="B45" s="192">
        <f t="shared" si="0"/>
        <v>45476</v>
      </c>
      <c r="C45" s="315">
        <v>79.517240000000001</v>
      </c>
      <c r="D45" s="315">
        <v>63.051724137931032</v>
      </c>
      <c r="E45" s="315">
        <v>82.308241379310346</v>
      </c>
      <c r="F45" s="315">
        <v>313.99972413793103</v>
      </c>
      <c r="G45" s="22">
        <f t="shared" si="1"/>
        <v>231.69148275862068</v>
      </c>
      <c r="H45" s="22">
        <f>IFERROR(IF(Yearending&gt;B44,'5. Historical demand'!F45-'5. Historical demand'!C45-'5. Historical demand'!D45,""),"")</f>
        <v>171.43075999999996</v>
      </c>
      <c r="I45" s="22">
        <f t="shared" si="2"/>
        <v>60.260722758620688</v>
      </c>
    </row>
    <row r="46" spans="2:9" x14ac:dyDescent="0.2">
      <c r="B46" s="192">
        <f t="shared" si="0"/>
        <v>45477</v>
      </c>
      <c r="C46" s="315">
        <v>79.517240000000001</v>
      </c>
      <c r="D46" s="315">
        <v>63.051724137931032</v>
      </c>
      <c r="E46" s="315">
        <v>77.433758620689645</v>
      </c>
      <c r="F46" s="315">
        <v>313.99972413793103</v>
      </c>
      <c r="G46" s="22">
        <f t="shared" si="1"/>
        <v>236.56596551724138</v>
      </c>
      <c r="H46" s="22">
        <f>IFERROR(IF(Yearending&gt;B45,'5. Historical demand'!F46-'5. Historical demand'!C46-'5. Historical demand'!D46,""),"")</f>
        <v>171.43075999999996</v>
      </c>
      <c r="I46" s="22">
        <f t="shared" si="2"/>
        <v>65.135205517241388</v>
      </c>
    </row>
    <row r="47" spans="2:9" x14ac:dyDescent="0.2">
      <c r="B47" s="192">
        <f t="shared" si="0"/>
        <v>45478</v>
      </c>
      <c r="C47" s="315">
        <v>79.517240000000001</v>
      </c>
      <c r="D47" s="315">
        <v>63.051724137931032</v>
      </c>
      <c r="E47" s="315">
        <v>59.406862068965516</v>
      </c>
      <c r="F47" s="315">
        <v>313.99972413793103</v>
      </c>
      <c r="G47" s="22">
        <f t="shared" si="1"/>
        <v>254.5928620689655</v>
      </c>
      <c r="H47" s="22">
        <f>IFERROR(IF(Yearending&gt;B46,'5. Historical demand'!F47-'5. Historical demand'!C47-'5. Historical demand'!D47,""),"")</f>
        <v>171.43075999999996</v>
      </c>
      <c r="I47" s="22">
        <f t="shared" si="2"/>
        <v>83.16210206896551</v>
      </c>
    </row>
    <row r="48" spans="2:9" x14ac:dyDescent="0.2">
      <c r="B48" s="192">
        <f t="shared" si="0"/>
        <v>45479</v>
      </c>
      <c r="C48" s="315">
        <v>79.517240000000001</v>
      </c>
      <c r="D48" s="315">
        <v>63.051724137931032</v>
      </c>
      <c r="E48" s="315">
        <v>55.305620689655171</v>
      </c>
      <c r="F48" s="315">
        <v>313.99972413793103</v>
      </c>
      <c r="G48" s="22">
        <f t="shared" si="1"/>
        <v>258.69410344827588</v>
      </c>
      <c r="H48" s="22">
        <f>IFERROR(IF(Yearending&gt;B47,'5. Historical demand'!F48-'5. Historical demand'!C48-'5. Historical demand'!D48,""),"")</f>
        <v>171.43075999999996</v>
      </c>
      <c r="I48" s="22">
        <f t="shared" si="2"/>
        <v>87.263343448275862</v>
      </c>
    </row>
    <row r="49" spans="2:9" x14ac:dyDescent="0.2">
      <c r="B49" s="192">
        <f t="shared" si="0"/>
        <v>45480</v>
      </c>
      <c r="C49" s="315">
        <v>79.517240000000001</v>
      </c>
      <c r="D49" s="315">
        <v>63.051724137931032</v>
      </c>
      <c r="E49" s="315">
        <v>71.57103448275862</v>
      </c>
      <c r="F49" s="315">
        <v>313.99972413793103</v>
      </c>
      <c r="G49" s="22">
        <f t="shared" si="1"/>
        <v>242.42868965517241</v>
      </c>
      <c r="H49" s="22">
        <f>IFERROR(IF(Yearending&gt;B48,'5. Historical demand'!F49-'5. Historical demand'!C49-'5. Historical demand'!D49,""),"")</f>
        <v>171.43075999999996</v>
      </c>
      <c r="I49" s="22">
        <f t="shared" si="2"/>
        <v>70.997929655172413</v>
      </c>
    </row>
    <row r="50" spans="2:9" x14ac:dyDescent="0.2">
      <c r="B50" s="192">
        <f t="shared" si="0"/>
        <v>45481</v>
      </c>
      <c r="C50" s="315">
        <v>79.517240000000001</v>
      </c>
      <c r="D50" s="315">
        <v>63.051724137931032</v>
      </c>
      <c r="E50" s="315">
        <v>131.08589655172415</v>
      </c>
      <c r="F50" s="315">
        <v>313.99972413793103</v>
      </c>
      <c r="G50" s="22">
        <f t="shared" si="1"/>
        <v>182.91382758620688</v>
      </c>
      <c r="H50" s="22">
        <f>IFERROR(IF(Yearending&gt;B49,'5. Historical demand'!F50-'5. Historical demand'!C50-'5. Historical demand'!D50,""),"")</f>
        <v>171.43075999999996</v>
      </c>
      <c r="I50" s="22">
        <f t="shared" si="2"/>
        <v>11.483067586206886</v>
      </c>
    </row>
    <row r="51" spans="2:9" x14ac:dyDescent="0.2">
      <c r="B51" s="192">
        <f t="shared" si="0"/>
        <v>45482</v>
      </c>
      <c r="C51" s="315">
        <v>79.517240000000001</v>
      </c>
      <c r="D51" s="315">
        <v>63.051724137931032</v>
      </c>
      <c r="E51" s="315">
        <v>149.09437931034486</v>
      </c>
      <c r="F51" s="315">
        <v>313.99972413793103</v>
      </c>
      <c r="G51" s="22">
        <f t="shared" si="1"/>
        <v>164.90534482758616</v>
      </c>
      <c r="H51" s="22">
        <f>IFERROR(IF(Yearending&gt;B50,'5. Historical demand'!F51-'5. Historical demand'!C51-'5. Historical demand'!D51,""),"")</f>
        <v>171.43075999999996</v>
      </c>
      <c r="I51" s="22">
        <f t="shared" si="2"/>
        <v>-6.5254151724138296</v>
      </c>
    </row>
    <row r="52" spans="2:9" x14ac:dyDescent="0.2">
      <c r="B52" s="192">
        <f t="shared" si="0"/>
        <v>45483</v>
      </c>
      <c r="C52" s="315">
        <v>79.517240000000001</v>
      </c>
      <c r="D52" s="315">
        <v>63.051724137931032</v>
      </c>
      <c r="E52" s="315">
        <v>83.17041379310345</v>
      </c>
      <c r="F52" s="315">
        <v>313.99972413793103</v>
      </c>
      <c r="G52" s="22">
        <f t="shared" si="1"/>
        <v>230.82931034482758</v>
      </c>
      <c r="H52" s="22">
        <f>IFERROR(IF(Yearending&gt;B51,'5. Historical demand'!F52-'5. Historical demand'!C52-'5. Historical demand'!D52,""),"")</f>
        <v>171.43075999999996</v>
      </c>
      <c r="I52" s="22">
        <f t="shared" si="2"/>
        <v>59.398550344827584</v>
      </c>
    </row>
    <row r="53" spans="2:9" x14ac:dyDescent="0.2">
      <c r="B53" s="192">
        <f t="shared" si="0"/>
        <v>45484</v>
      </c>
      <c r="C53" s="315">
        <v>79.517240000000001</v>
      </c>
      <c r="D53" s="315">
        <v>63.051724137931032</v>
      </c>
      <c r="E53" s="315">
        <v>115.77631034482758</v>
      </c>
      <c r="F53" s="315">
        <v>313.99972413793103</v>
      </c>
      <c r="G53" s="22">
        <f t="shared" si="1"/>
        <v>198.22341379310345</v>
      </c>
      <c r="H53" s="22">
        <f>IFERROR(IF(Yearending&gt;B52,'5. Historical demand'!F53-'5. Historical demand'!C53-'5. Historical demand'!D53,""),"")</f>
        <v>171.43075999999996</v>
      </c>
      <c r="I53" s="22">
        <f t="shared" si="2"/>
        <v>26.792653793103455</v>
      </c>
    </row>
    <row r="54" spans="2:9" x14ac:dyDescent="0.2">
      <c r="B54" s="192">
        <f t="shared" si="0"/>
        <v>45485</v>
      </c>
      <c r="C54" s="315">
        <v>79.517240000000001</v>
      </c>
      <c r="D54" s="315">
        <v>63.051724137931032</v>
      </c>
      <c r="E54" s="315">
        <v>114.26737931034484</v>
      </c>
      <c r="F54" s="315">
        <v>313.99972413793103</v>
      </c>
      <c r="G54" s="22">
        <f t="shared" si="1"/>
        <v>199.73234482758619</v>
      </c>
      <c r="H54" s="22">
        <f>IFERROR(IF(Yearending&gt;B53,'5. Historical demand'!F54-'5. Historical demand'!C54-'5. Historical demand'!D54,""),"")</f>
        <v>171.43075999999996</v>
      </c>
      <c r="I54" s="22">
        <f t="shared" si="2"/>
        <v>28.301584827586197</v>
      </c>
    </row>
    <row r="55" spans="2:9" x14ac:dyDescent="0.2">
      <c r="B55" s="192">
        <f t="shared" si="0"/>
        <v>45486</v>
      </c>
      <c r="C55" s="315">
        <v>79.517240000000001</v>
      </c>
      <c r="D55" s="315">
        <v>63.051724137931032</v>
      </c>
      <c r="E55" s="315">
        <v>85.946586206896555</v>
      </c>
      <c r="F55" s="315">
        <v>313.99972413793103</v>
      </c>
      <c r="G55" s="22">
        <f t="shared" si="1"/>
        <v>228.05313793103448</v>
      </c>
      <c r="H55" s="22">
        <f>IFERROR(IF(Yearending&gt;B54,'5. Historical demand'!F55-'5. Historical demand'!C55-'5. Historical demand'!D55,""),"")</f>
        <v>171.43075999999996</v>
      </c>
      <c r="I55" s="22">
        <f t="shared" si="2"/>
        <v>56.622377931034478</v>
      </c>
    </row>
    <row r="56" spans="2:9" x14ac:dyDescent="0.2">
      <c r="B56" s="192">
        <f t="shared" si="0"/>
        <v>45487</v>
      </c>
      <c r="C56" s="315">
        <v>79.517240000000001</v>
      </c>
      <c r="D56" s="315">
        <v>63.051724137931032</v>
      </c>
      <c r="E56" s="315">
        <v>81.326827586206889</v>
      </c>
      <c r="F56" s="315">
        <v>313.99972413793103</v>
      </c>
      <c r="G56" s="22">
        <f t="shared" si="1"/>
        <v>232.67289655172414</v>
      </c>
      <c r="H56" s="22">
        <f>IFERROR(IF(Yearending&gt;B55,'5. Historical demand'!F56-'5. Historical demand'!C56-'5. Historical demand'!D56,""),"")</f>
        <v>171.43075999999996</v>
      </c>
      <c r="I56" s="22">
        <f t="shared" si="2"/>
        <v>61.242136551724144</v>
      </c>
    </row>
    <row r="57" spans="2:9" x14ac:dyDescent="0.2">
      <c r="B57" s="192">
        <f t="shared" si="0"/>
        <v>45488</v>
      </c>
      <c r="C57" s="315">
        <v>79.517240000000001</v>
      </c>
      <c r="D57" s="315">
        <v>63.051724137931032</v>
      </c>
      <c r="E57" s="315">
        <v>96.376620689655169</v>
      </c>
      <c r="F57" s="315">
        <v>313.99972413793103</v>
      </c>
      <c r="G57" s="22">
        <f t="shared" si="1"/>
        <v>217.62310344827586</v>
      </c>
      <c r="H57" s="22">
        <f>IFERROR(IF(Yearending&gt;B56,'5. Historical demand'!F57-'5. Historical demand'!C57-'5. Historical demand'!D57,""),"")</f>
        <v>171.43075999999996</v>
      </c>
      <c r="I57" s="22">
        <f t="shared" si="2"/>
        <v>46.192343448275864</v>
      </c>
    </row>
    <row r="58" spans="2:9" x14ac:dyDescent="0.2">
      <c r="B58" s="192">
        <f t="shared" si="0"/>
        <v>45489</v>
      </c>
      <c r="C58" s="315">
        <v>79.517240000000001</v>
      </c>
      <c r="D58" s="315">
        <v>63.051724137931032</v>
      </c>
      <c r="E58" s="315">
        <v>87.312724137931042</v>
      </c>
      <c r="F58" s="315">
        <v>313.99972413793103</v>
      </c>
      <c r="G58" s="22">
        <f t="shared" si="1"/>
        <v>226.68699999999998</v>
      </c>
      <c r="H58" s="22">
        <f>IFERROR(IF(Yearending&gt;B57,'5. Historical demand'!F58-'5. Historical demand'!C58-'5. Historical demand'!D58,""),"")</f>
        <v>171.43075999999996</v>
      </c>
      <c r="I58" s="22">
        <f t="shared" si="2"/>
        <v>55.256239999999991</v>
      </c>
    </row>
    <row r="59" spans="2:9" x14ac:dyDescent="0.2">
      <c r="B59" s="192">
        <f t="shared" si="0"/>
        <v>45490</v>
      </c>
      <c r="C59" s="315">
        <v>79.517240000000001</v>
      </c>
      <c r="D59" s="315">
        <v>63.051724137931032</v>
      </c>
      <c r="E59" s="315">
        <v>90.984000000000009</v>
      </c>
      <c r="F59" s="315">
        <v>313.99972413793103</v>
      </c>
      <c r="G59" s="22">
        <f t="shared" si="1"/>
        <v>223.01572413793102</v>
      </c>
      <c r="H59" s="22">
        <f>IFERROR(IF(Yearending&gt;B58,'5. Historical demand'!F59-'5. Historical demand'!C59-'5. Historical demand'!D59,""),"")</f>
        <v>171.43075999999996</v>
      </c>
      <c r="I59" s="22">
        <f t="shared" si="2"/>
        <v>51.584964137931024</v>
      </c>
    </row>
    <row r="60" spans="2:9" x14ac:dyDescent="0.2">
      <c r="B60" s="192">
        <f t="shared" si="0"/>
        <v>45491</v>
      </c>
      <c r="C60" s="315">
        <v>79.517240000000001</v>
      </c>
      <c r="D60" s="315">
        <v>63.051724137931032</v>
      </c>
      <c r="E60" s="315">
        <v>82.924000000000007</v>
      </c>
      <c r="F60" s="315">
        <v>313.99972413793103</v>
      </c>
      <c r="G60" s="22">
        <f t="shared" si="1"/>
        <v>231.07572413793102</v>
      </c>
      <c r="H60" s="22">
        <f>IFERROR(IF(Yearending&gt;B59,'5. Historical demand'!F60-'5. Historical demand'!C60-'5. Historical demand'!D60,""),"")</f>
        <v>171.43075999999996</v>
      </c>
      <c r="I60" s="22">
        <f t="shared" si="2"/>
        <v>59.644964137931026</v>
      </c>
    </row>
    <row r="61" spans="2:9" x14ac:dyDescent="0.2">
      <c r="B61" s="192">
        <f t="shared" si="0"/>
        <v>45492</v>
      </c>
      <c r="C61" s="315">
        <v>79.517240000000001</v>
      </c>
      <c r="D61" s="315">
        <v>63.051724137931032</v>
      </c>
      <c r="E61" s="315">
        <v>80.5161724137931</v>
      </c>
      <c r="F61" s="315">
        <v>313.99972413793103</v>
      </c>
      <c r="G61" s="22">
        <f t="shared" si="1"/>
        <v>233.48355172413793</v>
      </c>
      <c r="H61" s="22">
        <f>IFERROR(IF(Yearending&gt;B60,'5. Historical demand'!F61-'5. Historical demand'!C61-'5. Historical demand'!D61,""),"")</f>
        <v>171.43075999999996</v>
      </c>
      <c r="I61" s="22">
        <f t="shared" si="2"/>
        <v>62.052791724137933</v>
      </c>
    </row>
    <row r="62" spans="2:9" x14ac:dyDescent="0.2">
      <c r="B62" s="192">
        <f t="shared" si="0"/>
        <v>45493</v>
      </c>
      <c r="C62" s="315">
        <v>79.517240000000001</v>
      </c>
      <c r="D62" s="315">
        <v>63.051724137931032</v>
      </c>
      <c r="E62" s="315">
        <v>83.900655172413806</v>
      </c>
      <c r="F62" s="315">
        <v>313.99972413793103</v>
      </c>
      <c r="G62" s="22">
        <f t="shared" si="1"/>
        <v>230.09906896551723</v>
      </c>
      <c r="H62" s="22">
        <f>IFERROR(IF(Yearending&gt;B61,'5. Historical demand'!F62-'5. Historical demand'!C62-'5. Historical demand'!D62,""),"")</f>
        <v>171.43075999999996</v>
      </c>
      <c r="I62" s="22">
        <f t="shared" si="2"/>
        <v>58.668308965517227</v>
      </c>
    </row>
    <row r="63" spans="2:9" x14ac:dyDescent="0.2">
      <c r="B63" s="192">
        <f t="shared" si="0"/>
        <v>45494</v>
      </c>
      <c r="C63" s="315">
        <v>79.517240000000001</v>
      </c>
      <c r="D63" s="315">
        <v>63.051724137931032</v>
      </c>
      <c r="E63" s="315">
        <v>91.688758620689669</v>
      </c>
      <c r="F63" s="315">
        <v>313.99972413793103</v>
      </c>
      <c r="G63" s="22">
        <f t="shared" si="1"/>
        <v>222.31096551724136</v>
      </c>
      <c r="H63" s="22">
        <f>IFERROR(IF(Yearending&gt;B62,'5. Historical demand'!F63-'5. Historical demand'!C63-'5. Historical demand'!D63,""),"")</f>
        <v>171.43075999999996</v>
      </c>
      <c r="I63" s="22">
        <f t="shared" si="2"/>
        <v>50.880205517241365</v>
      </c>
    </row>
    <row r="64" spans="2:9" x14ac:dyDescent="0.2">
      <c r="B64" s="192">
        <f t="shared" si="0"/>
        <v>45495</v>
      </c>
      <c r="C64" s="315">
        <v>79.517240000000001</v>
      </c>
      <c r="D64" s="315">
        <v>63.051724137931032</v>
      </c>
      <c r="E64" s="315">
        <v>67.455172413793093</v>
      </c>
      <c r="F64" s="315">
        <v>313.99972413793103</v>
      </c>
      <c r="G64" s="22">
        <f t="shared" si="1"/>
        <v>246.54455172413793</v>
      </c>
      <c r="H64" s="22">
        <f>IFERROR(IF(Yearending&gt;B63,'5. Historical demand'!F64-'5. Historical demand'!C64-'5. Historical demand'!D64,""),"")</f>
        <v>171.43075999999996</v>
      </c>
      <c r="I64" s="22">
        <f t="shared" si="2"/>
        <v>75.11379172413794</v>
      </c>
    </row>
    <row r="65" spans="2:9" x14ac:dyDescent="0.2">
      <c r="B65" s="192">
        <f t="shared" si="0"/>
        <v>45496</v>
      </c>
      <c r="C65" s="315">
        <v>79.517240000000001</v>
      </c>
      <c r="D65" s="315">
        <v>63.051724137931032</v>
      </c>
      <c r="E65" s="315">
        <v>76.621965517241378</v>
      </c>
      <c r="F65" s="315">
        <v>313.99972413793103</v>
      </c>
      <c r="G65" s="22">
        <f t="shared" si="1"/>
        <v>237.37775862068963</v>
      </c>
      <c r="H65" s="22">
        <f>IFERROR(IF(Yearending&gt;B64,'5. Historical demand'!F65-'5. Historical demand'!C65-'5. Historical demand'!D65,""),"")</f>
        <v>171.43075999999996</v>
      </c>
      <c r="I65" s="22">
        <f t="shared" si="2"/>
        <v>65.946998620689655</v>
      </c>
    </row>
    <row r="66" spans="2:9" x14ac:dyDescent="0.2">
      <c r="B66" s="192">
        <f t="shared" si="0"/>
        <v>45497</v>
      </c>
      <c r="C66" s="315">
        <v>79.517240000000001</v>
      </c>
      <c r="D66" s="315">
        <v>63.051724137931032</v>
      </c>
      <c r="E66" s="315">
        <v>65.576344827586212</v>
      </c>
      <c r="F66" s="315">
        <v>313.99972413793103</v>
      </c>
      <c r="G66" s="22">
        <f t="shared" si="1"/>
        <v>248.42337931034481</v>
      </c>
      <c r="H66" s="22">
        <f>IFERROR(IF(Yearending&gt;B65,'5. Historical demand'!F66-'5. Historical demand'!C66-'5. Historical demand'!D66,""),"")</f>
        <v>171.43075999999996</v>
      </c>
      <c r="I66" s="22">
        <f t="shared" si="2"/>
        <v>76.992619310344821</v>
      </c>
    </row>
    <row r="67" spans="2:9" x14ac:dyDescent="0.2">
      <c r="B67" s="192">
        <f t="shared" si="0"/>
        <v>45498</v>
      </c>
      <c r="C67" s="315">
        <v>79.517240000000001</v>
      </c>
      <c r="D67" s="315">
        <v>63.051724137931032</v>
      </c>
      <c r="E67" s="315">
        <v>75.383758620689662</v>
      </c>
      <c r="F67" s="315">
        <v>313.99972413793103</v>
      </c>
      <c r="G67" s="22">
        <f t="shared" si="1"/>
        <v>238.61596551724136</v>
      </c>
      <c r="H67" s="22">
        <f>IFERROR(IF(Yearending&gt;B66,'5. Historical demand'!F67-'5. Historical demand'!C67-'5. Historical demand'!D67,""),"")</f>
        <v>171.43075999999996</v>
      </c>
      <c r="I67" s="22">
        <f t="shared" si="2"/>
        <v>67.185205517241371</v>
      </c>
    </row>
    <row r="68" spans="2:9" x14ac:dyDescent="0.2">
      <c r="B68" s="192">
        <f t="shared" si="0"/>
        <v>45499</v>
      </c>
      <c r="C68" s="315">
        <v>79.517240000000001</v>
      </c>
      <c r="D68" s="315">
        <v>63.051724137931032</v>
      </c>
      <c r="E68" s="315">
        <v>70.939793103448281</v>
      </c>
      <c r="F68" s="315">
        <v>313.99972413793103</v>
      </c>
      <c r="G68" s="22">
        <f t="shared" si="1"/>
        <v>243.05993103448276</v>
      </c>
      <c r="H68" s="22">
        <f>IFERROR(IF(Yearending&gt;B67,'5. Historical demand'!F68-'5. Historical demand'!C68-'5. Historical demand'!D68,""),"")</f>
        <v>171.43075999999996</v>
      </c>
      <c r="I68" s="22">
        <f t="shared" si="2"/>
        <v>71.629171034482752</v>
      </c>
    </row>
    <row r="69" spans="2:9" x14ac:dyDescent="0.2">
      <c r="B69" s="192">
        <f t="shared" si="0"/>
        <v>45500</v>
      </c>
      <c r="C69" s="315">
        <v>79.517240000000001</v>
      </c>
      <c r="D69" s="315">
        <v>63.051724137931032</v>
      </c>
      <c r="E69" s="315">
        <v>95.642827586206906</v>
      </c>
      <c r="F69" s="315">
        <v>313.99972413793103</v>
      </c>
      <c r="G69" s="22">
        <f t="shared" si="1"/>
        <v>218.35689655172411</v>
      </c>
      <c r="H69" s="22">
        <f>IFERROR(IF(Yearending&gt;B68,'5. Historical demand'!F69-'5. Historical demand'!C69-'5. Historical demand'!D69,""),"")</f>
        <v>171.43075999999996</v>
      </c>
      <c r="I69" s="22">
        <f t="shared" si="2"/>
        <v>46.926136551724127</v>
      </c>
    </row>
    <row r="70" spans="2:9" x14ac:dyDescent="0.2">
      <c r="B70" s="192">
        <f t="shared" si="0"/>
        <v>45501</v>
      </c>
      <c r="C70" s="315">
        <v>79.517240000000001</v>
      </c>
      <c r="D70" s="315">
        <v>63.051724137931032</v>
      </c>
      <c r="E70" s="315">
        <v>100.07155172413793</v>
      </c>
      <c r="F70" s="315">
        <v>313.99972413793103</v>
      </c>
      <c r="G70" s="22">
        <f t="shared" si="1"/>
        <v>213.92817241379311</v>
      </c>
      <c r="H70" s="22">
        <f>IFERROR(IF(Yearending&gt;B69,'5. Historical demand'!F70-'5. Historical demand'!C70-'5. Historical demand'!D70,""),"")</f>
        <v>171.43075999999996</v>
      </c>
      <c r="I70" s="22">
        <f t="shared" si="2"/>
        <v>42.4974124137931</v>
      </c>
    </row>
    <row r="71" spans="2:9" x14ac:dyDescent="0.2">
      <c r="B71" s="192">
        <f t="shared" si="0"/>
        <v>45502</v>
      </c>
      <c r="C71" s="315">
        <v>79.517240000000001</v>
      </c>
      <c r="D71" s="315">
        <v>63.051724137931032</v>
      </c>
      <c r="E71" s="315">
        <v>106.56100000000001</v>
      </c>
      <c r="F71" s="315">
        <v>313.99972413793103</v>
      </c>
      <c r="G71" s="22">
        <f t="shared" si="1"/>
        <v>207.43872413793102</v>
      </c>
      <c r="H71" s="22">
        <f>IFERROR(IF(Yearending&gt;B70,'5. Historical demand'!F71-'5. Historical demand'!C71-'5. Historical demand'!D71,""),"")</f>
        <v>171.43075999999996</v>
      </c>
      <c r="I71" s="22">
        <f t="shared" si="2"/>
        <v>36.007964137931026</v>
      </c>
    </row>
    <row r="72" spans="2:9" x14ac:dyDescent="0.2">
      <c r="B72" s="192">
        <f t="shared" si="0"/>
        <v>45503</v>
      </c>
      <c r="C72" s="315">
        <v>79.517240000000001</v>
      </c>
      <c r="D72" s="315">
        <v>63.051724137931032</v>
      </c>
      <c r="E72" s="315">
        <v>116.14462068965517</v>
      </c>
      <c r="F72" s="315">
        <v>313.99972413793103</v>
      </c>
      <c r="G72" s="22">
        <f t="shared" si="1"/>
        <v>197.85510344827586</v>
      </c>
      <c r="H72" s="22">
        <f>IFERROR(IF(Yearending&gt;B71,'5. Historical demand'!F72-'5. Historical demand'!C72-'5. Historical demand'!D72,""),"")</f>
        <v>171.43075999999996</v>
      </c>
      <c r="I72" s="22">
        <f t="shared" si="2"/>
        <v>26.424343448275863</v>
      </c>
    </row>
    <row r="73" spans="2:9" x14ac:dyDescent="0.2">
      <c r="B73" s="192">
        <f t="shared" si="0"/>
        <v>45504</v>
      </c>
      <c r="C73" s="315">
        <v>79.517240000000001</v>
      </c>
      <c r="D73" s="315">
        <v>63.051724137931032</v>
      </c>
      <c r="E73" s="315">
        <v>100.97948275862069</v>
      </c>
      <c r="F73" s="315">
        <v>313.99972413793103</v>
      </c>
      <c r="G73" s="22">
        <f t="shared" si="1"/>
        <v>213.02024137931033</v>
      </c>
      <c r="H73" s="22">
        <f>IFERROR(IF(Yearending&gt;B72,'5. Historical demand'!F73-'5. Historical demand'!C73-'5. Historical demand'!D73,""),"")</f>
        <v>171.43075999999996</v>
      </c>
      <c r="I73" s="22">
        <f t="shared" si="2"/>
        <v>41.589481379310342</v>
      </c>
    </row>
    <row r="74" spans="2:9" x14ac:dyDescent="0.2">
      <c r="B74" s="192">
        <f t="shared" si="0"/>
        <v>45505</v>
      </c>
      <c r="C74" s="315">
        <v>79.517240000000001</v>
      </c>
      <c r="D74" s="315">
        <v>63.051724137931032</v>
      </c>
      <c r="E74" s="315">
        <v>73.334827586206899</v>
      </c>
      <c r="F74" s="315">
        <v>313.99972413793103</v>
      </c>
      <c r="G74" s="22">
        <f t="shared" si="1"/>
        <v>240.66489655172413</v>
      </c>
      <c r="H74" s="22">
        <f>IFERROR(IF(Yearending&gt;B73,'5. Historical demand'!F74-'5. Historical demand'!C74-'5. Historical demand'!D74,""),"")</f>
        <v>171.43075999999996</v>
      </c>
      <c r="I74" s="22">
        <f t="shared" si="2"/>
        <v>69.234136551724134</v>
      </c>
    </row>
    <row r="75" spans="2:9" x14ac:dyDescent="0.2">
      <c r="B75" s="192">
        <f t="shared" si="0"/>
        <v>45506</v>
      </c>
      <c r="C75" s="315">
        <v>79.517240000000001</v>
      </c>
      <c r="D75" s="315">
        <v>63.051724137931032</v>
      </c>
      <c r="E75" s="315">
        <v>101.66424137931034</v>
      </c>
      <c r="F75" s="315">
        <v>313.99972413793103</v>
      </c>
      <c r="G75" s="22">
        <f t="shared" si="1"/>
        <v>212.33548275862069</v>
      </c>
      <c r="H75" s="22">
        <f>IFERROR(IF(Yearending&gt;B74,'5. Historical demand'!F75-'5. Historical demand'!C75-'5. Historical demand'!D75,""),"")</f>
        <v>171.43075999999996</v>
      </c>
      <c r="I75" s="22">
        <f t="shared" si="2"/>
        <v>40.904722758620693</v>
      </c>
    </row>
    <row r="76" spans="2:9" x14ac:dyDescent="0.2">
      <c r="B76" s="192">
        <f t="shared" si="0"/>
        <v>45507</v>
      </c>
      <c r="C76" s="315">
        <v>79.517240000000001</v>
      </c>
      <c r="D76" s="315">
        <v>63.051724137931032</v>
      </c>
      <c r="E76" s="315">
        <v>113.26934482758621</v>
      </c>
      <c r="F76" s="315">
        <v>313.99972413793103</v>
      </c>
      <c r="G76" s="22">
        <f t="shared" si="1"/>
        <v>200.7303793103448</v>
      </c>
      <c r="H76" s="22">
        <f>IFERROR(IF(Yearending&gt;B75,'5. Historical demand'!F76-'5. Historical demand'!C76-'5. Historical demand'!D76,""),"")</f>
        <v>171.43075999999996</v>
      </c>
      <c r="I76" s="22">
        <f t="shared" si="2"/>
        <v>29.299619310344823</v>
      </c>
    </row>
    <row r="77" spans="2:9" x14ac:dyDescent="0.2">
      <c r="B77" s="192">
        <f t="shared" si="0"/>
        <v>45508</v>
      </c>
      <c r="C77" s="315">
        <v>79.517240000000001</v>
      </c>
      <c r="D77" s="315">
        <v>63.051724137931032</v>
      </c>
      <c r="E77" s="315">
        <v>108.41224137931036</v>
      </c>
      <c r="F77" s="315">
        <v>313.99972413793103</v>
      </c>
      <c r="G77" s="22">
        <f t="shared" si="1"/>
        <v>205.58748275862067</v>
      </c>
      <c r="H77" s="22">
        <f>IFERROR(IF(Yearending&gt;B76,'5. Historical demand'!F77-'5. Historical demand'!C77-'5. Historical demand'!D77,""),"")</f>
        <v>171.43075999999996</v>
      </c>
      <c r="I77" s="22">
        <f t="shared" si="2"/>
        <v>34.156722758620674</v>
      </c>
    </row>
    <row r="78" spans="2:9" x14ac:dyDescent="0.2">
      <c r="B78" s="192">
        <f t="shared" si="0"/>
        <v>45509</v>
      </c>
      <c r="C78" s="315">
        <v>79.517240000000001</v>
      </c>
      <c r="D78" s="315">
        <v>63.051724137931032</v>
      </c>
      <c r="E78" s="315">
        <v>122.97986206896553</v>
      </c>
      <c r="F78" s="315">
        <v>313.99972413793103</v>
      </c>
      <c r="G78" s="22">
        <f t="shared" si="1"/>
        <v>191.01986206896549</v>
      </c>
      <c r="H78" s="22">
        <f>IFERROR(IF(Yearending&gt;B77,'5. Historical demand'!F78-'5. Historical demand'!C78-'5. Historical demand'!D78,""),"")</f>
        <v>171.43075999999996</v>
      </c>
      <c r="I78" s="22">
        <f t="shared" si="2"/>
        <v>19.589102068965502</v>
      </c>
    </row>
    <row r="79" spans="2:9" x14ac:dyDescent="0.2">
      <c r="B79" s="192">
        <f t="shared" si="0"/>
        <v>45510</v>
      </c>
      <c r="C79" s="315">
        <v>79.517240000000001</v>
      </c>
      <c r="D79" s="315">
        <v>63.051724137931032</v>
      </c>
      <c r="E79" s="315">
        <v>104.31903448275861</v>
      </c>
      <c r="F79" s="315">
        <v>313.99972413793103</v>
      </c>
      <c r="G79" s="22">
        <f t="shared" si="1"/>
        <v>209.68068965517242</v>
      </c>
      <c r="H79" s="22">
        <f>IFERROR(IF(Yearending&gt;B78,'5. Historical demand'!F79-'5. Historical demand'!C79-'5. Historical demand'!D79,""),"")</f>
        <v>171.43075999999996</v>
      </c>
      <c r="I79" s="22">
        <f t="shared" si="2"/>
        <v>38.249929655172423</v>
      </c>
    </row>
    <row r="80" spans="2:9" x14ac:dyDescent="0.2">
      <c r="B80" s="192">
        <f t="shared" si="0"/>
        <v>45511</v>
      </c>
      <c r="C80" s="315">
        <v>79.517240000000001</v>
      </c>
      <c r="D80" s="315">
        <v>63.051724137931032</v>
      </c>
      <c r="E80" s="315">
        <v>82.708172413793108</v>
      </c>
      <c r="F80" s="315">
        <v>313.99972413793103</v>
      </c>
      <c r="G80" s="22">
        <f t="shared" si="1"/>
        <v>231.29155172413792</v>
      </c>
      <c r="H80" s="22">
        <f>IFERROR(IF(Yearending&gt;B79,'5. Historical demand'!F80-'5. Historical demand'!C80-'5. Historical demand'!D80,""),"")</f>
        <v>171.43075999999996</v>
      </c>
      <c r="I80" s="22">
        <f t="shared" si="2"/>
        <v>59.860791724137925</v>
      </c>
    </row>
    <row r="81" spans="2:9" x14ac:dyDescent="0.2">
      <c r="B81" s="192">
        <f t="shared" si="0"/>
        <v>45512</v>
      </c>
      <c r="C81" s="315">
        <v>79.517240000000001</v>
      </c>
      <c r="D81" s="315">
        <v>63.051724137931032</v>
      </c>
      <c r="E81" s="315">
        <v>81.686034482758629</v>
      </c>
      <c r="F81" s="315">
        <v>313.99972413793103</v>
      </c>
      <c r="G81" s="22">
        <f t="shared" si="1"/>
        <v>232.3136896551724</v>
      </c>
      <c r="H81" s="22">
        <f>IFERROR(IF(Yearending&gt;B80,'5. Historical demand'!F81-'5. Historical demand'!C81-'5. Historical demand'!D81,""),"")</f>
        <v>171.43075999999996</v>
      </c>
      <c r="I81" s="22">
        <f t="shared" si="2"/>
        <v>60.882929655172404</v>
      </c>
    </row>
    <row r="82" spans="2:9" x14ac:dyDescent="0.2">
      <c r="B82" s="192">
        <f t="shared" si="0"/>
        <v>45513</v>
      </c>
      <c r="C82" s="315">
        <v>79.517240000000001</v>
      </c>
      <c r="D82" s="315">
        <v>63.051724137931032</v>
      </c>
      <c r="E82" s="315">
        <v>135.71306896551727</v>
      </c>
      <c r="F82" s="315">
        <v>313.99972413793103</v>
      </c>
      <c r="G82" s="22">
        <f t="shared" si="1"/>
        <v>178.28665517241376</v>
      </c>
      <c r="H82" s="22">
        <f>IFERROR(IF(Yearending&gt;B81,'5. Historical demand'!F82-'5. Historical demand'!C82-'5. Historical demand'!D82,""),"")</f>
        <v>171.43075999999996</v>
      </c>
      <c r="I82" s="22">
        <f t="shared" si="2"/>
        <v>6.8558951724137671</v>
      </c>
    </row>
    <row r="83" spans="2:9" x14ac:dyDescent="0.2">
      <c r="B83" s="192">
        <f t="shared" si="0"/>
        <v>45514</v>
      </c>
      <c r="C83" s="315">
        <v>79.517240000000001</v>
      </c>
      <c r="D83" s="315">
        <v>63.051724137931032</v>
      </c>
      <c r="E83" s="315">
        <v>100.36827586206897</v>
      </c>
      <c r="F83" s="315">
        <v>313.99972413793103</v>
      </c>
      <c r="G83" s="22">
        <f t="shared" si="1"/>
        <v>213.63144827586206</v>
      </c>
      <c r="H83" s="22">
        <f>IFERROR(IF(Yearending&gt;B82,'5. Historical demand'!F83-'5. Historical demand'!C83-'5. Historical demand'!D83,""),"")</f>
        <v>171.43075999999996</v>
      </c>
      <c r="I83" s="22">
        <f t="shared" si="2"/>
        <v>42.200688275862063</v>
      </c>
    </row>
    <row r="84" spans="2:9" x14ac:dyDescent="0.2">
      <c r="B84" s="192">
        <f t="shared" si="0"/>
        <v>45515</v>
      </c>
      <c r="C84" s="315">
        <v>79.517240000000001</v>
      </c>
      <c r="D84" s="315">
        <v>63.051724137931032</v>
      </c>
      <c r="E84" s="315">
        <v>84.581862068965506</v>
      </c>
      <c r="F84" s="315">
        <v>313.99972413793103</v>
      </c>
      <c r="G84" s="22">
        <f t="shared" si="1"/>
        <v>229.41786206896552</v>
      </c>
      <c r="H84" s="22">
        <f>IFERROR(IF(Yearending&gt;B83,'5. Historical demand'!F84-'5. Historical demand'!C84-'5. Historical demand'!D84,""),"")</f>
        <v>171.43075999999996</v>
      </c>
      <c r="I84" s="22">
        <f t="shared" si="2"/>
        <v>57.987102068965527</v>
      </c>
    </row>
    <row r="85" spans="2:9" x14ac:dyDescent="0.2">
      <c r="B85" s="192">
        <f t="shared" si="0"/>
        <v>45516</v>
      </c>
      <c r="C85" s="315">
        <v>79.517240000000001</v>
      </c>
      <c r="D85" s="315">
        <v>63.051724137931032</v>
      </c>
      <c r="E85" s="315">
        <v>77.169275862068957</v>
      </c>
      <c r="F85" s="315">
        <v>313.99972413793103</v>
      </c>
      <c r="G85" s="22">
        <f t="shared" si="1"/>
        <v>236.83044827586207</v>
      </c>
      <c r="H85" s="22">
        <f>IFERROR(IF(Yearending&gt;B84,'5. Historical demand'!F85-'5. Historical demand'!C85-'5. Historical demand'!D85,""),"")</f>
        <v>171.43075999999996</v>
      </c>
      <c r="I85" s="22">
        <f t="shared" si="2"/>
        <v>65.399688275862076</v>
      </c>
    </row>
    <row r="86" spans="2:9" x14ac:dyDescent="0.2">
      <c r="B86" s="192">
        <f t="shared" si="0"/>
        <v>45517</v>
      </c>
      <c r="C86" s="315">
        <v>79.517240000000001</v>
      </c>
      <c r="D86" s="315">
        <v>63.051724137931032</v>
      </c>
      <c r="E86" s="315">
        <v>64.471931034482751</v>
      </c>
      <c r="F86" s="315">
        <v>313.99972413793103</v>
      </c>
      <c r="G86" s="22">
        <f t="shared" si="1"/>
        <v>249.52779310344829</v>
      </c>
      <c r="H86" s="22">
        <f>IFERROR(IF(Yearending&gt;B85,'5. Historical demand'!F86-'5. Historical demand'!C86-'5. Historical demand'!D86,""),"")</f>
        <v>171.43075999999996</v>
      </c>
      <c r="I86" s="22">
        <f t="shared" si="2"/>
        <v>78.097033103448283</v>
      </c>
    </row>
    <row r="87" spans="2:9" x14ac:dyDescent="0.2">
      <c r="B87" s="192">
        <f t="shared" si="0"/>
        <v>45518</v>
      </c>
      <c r="C87" s="315">
        <v>79.517240000000001</v>
      </c>
      <c r="D87" s="315">
        <v>63.051724137931032</v>
      </c>
      <c r="E87" s="315">
        <v>81.301827586206898</v>
      </c>
      <c r="F87" s="315">
        <v>313.99972413793103</v>
      </c>
      <c r="G87" s="22">
        <f t="shared" si="1"/>
        <v>232.69789655172411</v>
      </c>
      <c r="H87" s="22">
        <f>IFERROR(IF(Yearending&gt;B86,'5. Historical demand'!F87-'5. Historical demand'!C87-'5. Historical demand'!D87,""),"")</f>
        <v>171.43075999999996</v>
      </c>
      <c r="I87" s="22">
        <f t="shared" si="2"/>
        <v>61.267136551724136</v>
      </c>
    </row>
    <row r="88" spans="2:9" x14ac:dyDescent="0.2">
      <c r="B88" s="192">
        <f t="shared" si="0"/>
        <v>45519</v>
      </c>
      <c r="C88" s="315">
        <v>79.517240000000001</v>
      </c>
      <c r="D88" s="315">
        <v>63.051724137931032</v>
      </c>
      <c r="E88" s="315">
        <v>63.593896551724143</v>
      </c>
      <c r="F88" s="315">
        <v>313.99972413793103</v>
      </c>
      <c r="G88" s="22">
        <f t="shared" si="1"/>
        <v>250.4058275862069</v>
      </c>
      <c r="H88" s="22">
        <f>IFERROR(IF(Yearending&gt;B87,'5. Historical demand'!F88-'5. Historical demand'!C88-'5. Historical demand'!D88,""),"")</f>
        <v>171.43075999999996</v>
      </c>
      <c r="I88" s="22">
        <f t="shared" si="2"/>
        <v>78.97506758620689</v>
      </c>
    </row>
    <row r="89" spans="2:9" x14ac:dyDescent="0.2">
      <c r="B89" s="192">
        <f t="shared" si="0"/>
        <v>45520</v>
      </c>
      <c r="C89" s="315">
        <v>79.517240000000001</v>
      </c>
      <c r="D89" s="315">
        <v>63.051724137931032</v>
      </c>
      <c r="E89" s="315">
        <v>73.206344827586207</v>
      </c>
      <c r="F89" s="315">
        <v>313.99972413793103</v>
      </c>
      <c r="G89" s="22">
        <f t="shared" si="1"/>
        <v>240.79337931034482</v>
      </c>
      <c r="H89" s="22">
        <f>IFERROR(IF(Yearending&gt;B88,'5. Historical demand'!F89-'5. Historical demand'!C89-'5. Historical demand'!D89,""),"")</f>
        <v>171.43075999999996</v>
      </c>
      <c r="I89" s="22">
        <f t="shared" si="2"/>
        <v>69.362619310344826</v>
      </c>
    </row>
    <row r="90" spans="2:9" x14ac:dyDescent="0.2">
      <c r="B90" s="192">
        <f t="shared" si="0"/>
        <v>45521</v>
      </c>
      <c r="C90" s="315">
        <v>79.517240000000001</v>
      </c>
      <c r="D90" s="315">
        <v>63.051724137931032</v>
      </c>
      <c r="E90" s="315">
        <v>82.229517241379313</v>
      </c>
      <c r="F90" s="315">
        <v>313.99972413793103</v>
      </c>
      <c r="G90" s="22">
        <f t="shared" si="1"/>
        <v>231.77020689655171</v>
      </c>
      <c r="H90" s="22">
        <f>IFERROR(IF(Yearending&gt;B89,'5. Historical demand'!F90-'5. Historical demand'!C90-'5. Historical demand'!D90,""),"")</f>
        <v>171.43075999999996</v>
      </c>
      <c r="I90" s="22">
        <f t="shared" si="2"/>
        <v>60.339446896551721</v>
      </c>
    </row>
    <row r="91" spans="2:9" x14ac:dyDescent="0.2">
      <c r="B91" s="192">
        <f t="shared" si="0"/>
        <v>45522</v>
      </c>
      <c r="C91" s="315">
        <v>79.517240000000001</v>
      </c>
      <c r="D91" s="315">
        <v>63.051724137931032</v>
      </c>
      <c r="E91" s="315">
        <v>102.1756551724138</v>
      </c>
      <c r="F91" s="315">
        <v>313.99972413793103</v>
      </c>
      <c r="G91" s="22">
        <f t="shared" si="1"/>
        <v>211.82406896551723</v>
      </c>
      <c r="H91" s="22">
        <f>IFERROR(IF(Yearending&gt;B90,'5. Historical demand'!F91-'5. Historical demand'!C91-'5. Historical demand'!D91,""),"")</f>
        <v>171.43075999999996</v>
      </c>
      <c r="I91" s="22">
        <f t="shared" si="2"/>
        <v>40.393308965517235</v>
      </c>
    </row>
    <row r="92" spans="2:9" x14ac:dyDescent="0.2">
      <c r="B92" s="192">
        <f t="shared" si="0"/>
        <v>45523</v>
      </c>
      <c r="C92" s="315">
        <v>79.517240000000001</v>
      </c>
      <c r="D92" s="315">
        <v>63.051724137931032</v>
      </c>
      <c r="E92" s="315">
        <v>79.465724137931034</v>
      </c>
      <c r="F92" s="315">
        <v>313.99972413793103</v>
      </c>
      <c r="G92" s="22">
        <f t="shared" si="1"/>
        <v>234.53399999999999</v>
      </c>
      <c r="H92" s="22">
        <f>IFERROR(IF(Yearending&gt;B91,'5. Historical demand'!F92-'5. Historical demand'!C92-'5. Historical demand'!D92,""),"")</f>
        <v>171.43075999999996</v>
      </c>
      <c r="I92" s="22">
        <f t="shared" si="2"/>
        <v>63.10324</v>
      </c>
    </row>
    <row r="93" spans="2:9" x14ac:dyDescent="0.2">
      <c r="B93" s="192">
        <f t="shared" si="0"/>
        <v>45524</v>
      </c>
      <c r="C93" s="315">
        <v>79.517240000000001</v>
      </c>
      <c r="D93" s="315">
        <v>63.051724137931032</v>
      </c>
      <c r="E93" s="315">
        <v>75.998413793103452</v>
      </c>
      <c r="F93" s="315">
        <v>313.99972413793103</v>
      </c>
      <c r="G93" s="22">
        <f t="shared" si="1"/>
        <v>238.00131034482757</v>
      </c>
      <c r="H93" s="22">
        <f>IFERROR(IF(Yearending&gt;B92,'5. Historical demand'!F93-'5. Historical demand'!C93-'5. Historical demand'!D93,""),"")</f>
        <v>171.43075999999996</v>
      </c>
      <c r="I93" s="22">
        <f t="shared" si="2"/>
        <v>66.570550344827581</v>
      </c>
    </row>
    <row r="94" spans="2:9" x14ac:dyDescent="0.2">
      <c r="B94" s="192">
        <f t="shared" si="0"/>
        <v>45525</v>
      </c>
      <c r="C94" s="315">
        <v>79.517240000000001</v>
      </c>
      <c r="D94" s="315">
        <v>63.051724137931032</v>
      </c>
      <c r="E94" s="315">
        <v>86.717965517241382</v>
      </c>
      <c r="F94" s="315">
        <v>313.99972413793103</v>
      </c>
      <c r="G94" s="22">
        <f t="shared" si="1"/>
        <v>227.28175862068963</v>
      </c>
      <c r="H94" s="22">
        <f>IFERROR(IF(Yearending&gt;B93,'5. Historical demand'!F94-'5. Historical demand'!C94-'5. Historical demand'!D94,""),"")</f>
        <v>171.43075999999996</v>
      </c>
      <c r="I94" s="22">
        <f t="shared" si="2"/>
        <v>55.850998620689651</v>
      </c>
    </row>
    <row r="95" spans="2:9" x14ac:dyDescent="0.2">
      <c r="B95" s="192">
        <f t="shared" si="0"/>
        <v>45526</v>
      </c>
      <c r="C95" s="315">
        <v>79.517240000000001</v>
      </c>
      <c r="D95" s="315">
        <v>63.051724137931032</v>
      </c>
      <c r="E95" s="315">
        <v>84.026103448275862</v>
      </c>
      <c r="F95" s="315">
        <v>313.99972413793103</v>
      </c>
      <c r="G95" s="22">
        <f t="shared" si="1"/>
        <v>229.97362068965515</v>
      </c>
      <c r="H95" s="22">
        <f>IFERROR(IF(Yearending&gt;B94,'5. Historical demand'!F95-'5. Historical demand'!C95-'5. Historical demand'!D95,""),"")</f>
        <v>171.43075999999996</v>
      </c>
      <c r="I95" s="22">
        <f t="shared" si="2"/>
        <v>58.542860689655171</v>
      </c>
    </row>
    <row r="96" spans="2:9" x14ac:dyDescent="0.2">
      <c r="B96" s="192">
        <f t="shared" si="0"/>
        <v>45527</v>
      </c>
      <c r="C96" s="315">
        <v>79.517240000000001</v>
      </c>
      <c r="D96" s="315">
        <v>63.051724137931032</v>
      </c>
      <c r="E96" s="315">
        <v>72.387275862068961</v>
      </c>
      <c r="F96" s="315">
        <v>313.99972413793103</v>
      </c>
      <c r="G96" s="22">
        <f t="shared" si="1"/>
        <v>241.61244827586205</v>
      </c>
      <c r="H96" s="22">
        <f>IFERROR(IF(Yearending&gt;B95,'5. Historical demand'!F96-'5. Historical demand'!C96-'5. Historical demand'!D96,""),"")</f>
        <v>171.43075999999996</v>
      </c>
      <c r="I96" s="22">
        <f t="shared" si="2"/>
        <v>70.181688275862072</v>
      </c>
    </row>
    <row r="97" spans="2:9" x14ac:dyDescent="0.2">
      <c r="B97" s="192">
        <f t="shared" si="0"/>
        <v>45528</v>
      </c>
      <c r="C97" s="315">
        <v>79.517240000000001</v>
      </c>
      <c r="D97" s="315">
        <v>63.051724137931032</v>
      </c>
      <c r="E97" s="315">
        <v>69.844965517241377</v>
      </c>
      <c r="F97" s="315">
        <v>313.99972413793103</v>
      </c>
      <c r="G97" s="22">
        <f t="shared" si="1"/>
        <v>244.15475862068965</v>
      </c>
      <c r="H97" s="22">
        <f>IFERROR(IF(Yearending&gt;B96,'5. Historical demand'!F97-'5. Historical demand'!C97-'5. Historical demand'!D97,""),"")</f>
        <v>171.43075999999996</v>
      </c>
      <c r="I97" s="22">
        <f t="shared" si="2"/>
        <v>72.723998620689656</v>
      </c>
    </row>
    <row r="98" spans="2:9" x14ac:dyDescent="0.2">
      <c r="B98" s="192">
        <f t="shared" si="0"/>
        <v>45529</v>
      </c>
      <c r="C98" s="315">
        <v>79.517240000000001</v>
      </c>
      <c r="D98" s="315">
        <v>63.051724137931032</v>
      </c>
      <c r="E98" s="315">
        <v>71.218241379310342</v>
      </c>
      <c r="F98" s="315">
        <v>313.99972413793103</v>
      </c>
      <c r="G98" s="22">
        <f t="shared" si="1"/>
        <v>242.78148275862068</v>
      </c>
      <c r="H98" s="22">
        <f>IFERROR(IF(Yearending&gt;B97,'5. Historical demand'!F98-'5. Historical demand'!C98-'5. Historical demand'!D98,""),"")</f>
        <v>171.43075999999996</v>
      </c>
      <c r="I98" s="22">
        <f t="shared" si="2"/>
        <v>71.350722758620691</v>
      </c>
    </row>
    <row r="99" spans="2:9" x14ac:dyDescent="0.2">
      <c r="B99" s="192">
        <f t="shared" si="0"/>
        <v>45530</v>
      </c>
      <c r="C99" s="315">
        <v>79.517240000000001</v>
      </c>
      <c r="D99" s="315">
        <v>63.051724137931032</v>
      </c>
      <c r="E99" s="315">
        <v>66.40106896551724</v>
      </c>
      <c r="F99" s="315">
        <v>313.99972413793103</v>
      </c>
      <c r="G99" s="22">
        <f t="shared" si="1"/>
        <v>247.59865517241377</v>
      </c>
      <c r="H99" s="22">
        <f>IFERROR(IF(Yearending&gt;B98,'5. Historical demand'!F99-'5. Historical demand'!C99-'5. Historical demand'!D99,""),"")</f>
        <v>171.43075999999996</v>
      </c>
      <c r="I99" s="22">
        <f t="shared" si="2"/>
        <v>76.167895172413793</v>
      </c>
    </row>
    <row r="100" spans="2:9" x14ac:dyDescent="0.2">
      <c r="B100" s="192">
        <f t="shared" si="0"/>
        <v>45531</v>
      </c>
      <c r="C100" s="315">
        <v>79.517240000000001</v>
      </c>
      <c r="D100" s="315">
        <v>63.051724137931032</v>
      </c>
      <c r="E100" s="315">
        <v>69.698103448275873</v>
      </c>
      <c r="F100" s="315">
        <v>313.99972413793103</v>
      </c>
      <c r="G100" s="22">
        <f t="shared" si="1"/>
        <v>244.30162068965515</v>
      </c>
      <c r="H100" s="22">
        <f>IFERROR(IF(Yearending&gt;B99,'5. Historical demand'!F100-'5. Historical demand'!C100-'5. Historical demand'!D100,""),"")</f>
        <v>171.43075999999996</v>
      </c>
      <c r="I100" s="22">
        <f t="shared" si="2"/>
        <v>72.87086068965516</v>
      </c>
    </row>
    <row r="101" spans="2:9" x14ac:dyDescent="0.2">
      <c r="B101" s="192">
        <f t="shared" si="0"/>
        <v>45532</v>
      </c>
      <c r="C101" s="315">
        <v>79.517240000000001</v>
      </c>
      <c r="D101" s="315">
        <v>63.051724137931032</v>
      </c>
      <c r="E101" s="315">
        <v>70.670931034482763</v>
      </c>
      <c r="F101" s="315">
        <v>313.99972413793103</v>
      </c>
      <c r="G101" s="22">
        <f t="shared" si="1"/>
        <v>243.32879310344828</v>
      </c>
      <c r="H101" s="22">
        <f>IFERROR(IF(Yearending&gt;B100,'5. Historical demand'!F101-'5. Historical demand'!C101-'5. Historical demand'!D101,""),"")</f>
        <v>171.43075999999996</v>
      </c>
      <c r="I101" s="22">
        <f t="shared" si="2"/>
        <v>71.89803310344827</v>
      </c>
    </row>
    <row r="102" spans="2:9" x14ac:dyDescent="0.2">
      <c r="B102" s="192">
        <f t="shared" si="0"/>
        <v>45533</v>
      </c>
      <c r="C102" s="315">
        <v>79.517240000000001</v>
      </c>
      <c r="D102" s="315">
        <v>63.051724137931032</v>
      </c>
      <c r="E102" s="315">
        <v>87.666793103448271</v>
      </c>
      <c r="F102" s="315">
        <v>313.99972413793103</v>
      </c>
      <c r="G102" s="22">
        <f t="shared" si="1"/>
        <v>226.33293103448275</v>
      </c>
      <c r="H102" s="22">
        <f>IFERROR(IF(Yearending&gt;B101,'5. Historical demand'!F102-'5. Historical demand'!C102-'5. Historical demand'!D102,""),"")</f>
        <v>171.43075999999996</v>
      </c>
      <c r="I102" s="22">
        <f t="shared" si="2"/>
        <v>54.902171034482762</v>
      </c>
    </row>
    <row r="103" spans="2:9" x14ac:dyDescent="0.2">
      <c r="B103" s="192">
        <f t="shared" si="0"/>
        <v>45534</v>
      </c>
      <c r="C103" s="315">
        <v>79.517240000000001</v>
      </c>
      <c r="D103" s="315">
        <v>63.051724137931032</v>
      </c>
      <c r="E103" s="315">
        <v>72.542862068965519</v>
      </c>
      <c r="F103" s="315">
        <v>313.99972413793103</v>
      </c>
      <c r="G103" s="22">
        <f t="shared" si="1"/>
        <v>241.45686206896551</v>
      </c>
      <c r="H103" s="22">
        <f>IFERROR(IF(Yearending&gt;B102,'5. Historical demand'!F103-'5. Historical demand'!C103-'5. Historical demand'!D103,""),"")</f>
        <v>171.43075999999996</v>
      </c>
      <c r="I103" s="22">
        <f t="shared" si="2"/>
        <v>70.026102068965514</v>
      </c>
    </row>
    <row r="104" spans="2:9" x14ac:dyDescent="0.2">
      <c r="B104" s="192">
        <f t="shared" si="0"/>
        <v>45535</v>
      </c>
      <c r="C104" s="315">
        <v>79.517240000000001</v>
      </c>
      <c r="D104" s="315">
        <v>63.051724137931032</v>
      </c>
      <c r="E104" s="315">
        <v>75.502655172413796</v>
      </c>
      <c r="F104" s="315">
        <v>313.99972413793103</v>
      </c>
      <c r="G104" s="22">
        <f t="shared" si="1"/>
        <v>238.49706896551723</v>
      </c>
      <c r="H104" s="22">
        <f>IFERROR(IF(Yearending&gt;B103,'5. Historical demand'!F104-'5. Historical demand'!C104-'5. Historical demand'!D104,""),"")</f>
        <v>171.43075999999996</v>
      </c>
      <c r="I104" s="22">
        <f t="shared" si="2"/>
        <v>67.066308965517237</v>
      </c>
    </row>
    <row r="105" spans="2:9" x14ac:dyDescent="0.2">
      <c r="B105" s="192">
        <f t="shared" si="0"/>
        <v>45536</v>
      </c>
      <c r="C105" s="315">
        <v>79.517240000000001</v>
      </c>
      <c r="D105" s="315">
        <v>63.051724137931032</v>
      </c>
      <c r="E105" s="315">
        <v>84.482379310344811</v>
      </c>
      <c r="F105" s="315">
        <v>313.99972413793103</v>
      </c>
      <c r="G105" s="22">
        <f t="shared" si="1"/>
        <v>229.51734482758621</v>
      </c>
      <c r="H105" s="22">
        <f>IFERROR(IF(Yearending&gt;B104,'5. Historical demand'!F105-'5. Historical demand'!C105-'5. Historical demand'!D105,""),"")</f>
        <v>171.43075999999996</v>
      </c>
      <c r="I105" s="22">
        <f t="shared" si="2"/>
        <v>58.086584827586222</v>
      </c>
    </row>
    <row r="106" spans="2:9" x14ac:dyDescent="0.2">
      <c r="B106" s="192">
        <f t="shared" si="0"/>
        <v>45537</v>
      </c>
      <c r="C106" s="315">
        <v>79.517240000000001</v>
      </c>
      <c r="D106" s="315">
        <v>63.051724137931032</v>
      </c>
      <c r="E106" s="315">
        <v>92.757896551724144</v>
      </c>
      <c r="F106" s="315">
        <v>313.99972413793103</v>
      </c>
      <c r="G106" s="22">
        <f t="shared" si="1"/>
        <v>221.24182758620688</v>
      </c>
      <c r="H106" s="22">
        <f>IFERROR(IF(Yearending&gt;B105,'5. Historical demand'!F106-'5. Historical demand'!C106-'5. Historical demand'!D106,""),"")</f>
        <v>171.43075999999996</v>
      </c>
      <c r="I106" s="22">
        <f t="shared" si="2"/>
        <v>49.811067586206889</v>
      </c>
    </row>
    <row r="107" spans="2:9" x14ac:dyDescent="0.2">
      <c r="B107" s="192">
        <f t="shared" si="0"/>
        <v>45538</v>
      </c>
      <c r="C107" s="315">
        <v>79.517240000000001</v>
      </c>
      <c r="D107" s="315">
        <v>63.051724137931032</v>
      </c>
      <c r="E107" s="315">
        <v>89.523586206896553</v>
      </c>
      <c r="F107" s="315">
        <v>313.99972413793103</v>
      </c>
      <c r="G107" s="22">
        <f t="shared" si="1"/>
        <v>224.47613793103449</v>
      </c>
      <c r="H107" s="22">
        <f>IFERROR(IF(Yearending&gt;B106,'5. Historical demand'!F107-'5. Historical demand'!C107-'5. Historical demand'!D107,""),"")</f>
        <v>171.43075999999996</v>
      </c>
      <c r="I107" s="22">
        <f t="shared" si="2"/>
        <v>53.04537793103448</v>
      </c>
    </row>
    <row r="108" spans="2:9" x14ac:dyDescent="0.2">
      <c r="B108" s="192">
        <f t="shared" ref="B108:B171" si="3">IFERROR(IF(Yearending&gt;B107, B107+1, ""),"")</f>
        <v>45539</v>
      </c>
      <c r="C108" s="315">
        <v>79.517240000000001</v>
      </c>
      <c r="D108" s="315">
        <v>63.051724137931032</v>
      </c>
      <c r="E108" s="315">
        <v>74.111586206896561</v>
      </c>
      <c r="F108" s="315">
        <v>313.99972413793103</v>
      </c>
      <c r="G108" s="22">
        <f t="shared" ref="G108:G171" si="4">IFERROR(IF(Yearending&gt;B107,F108-E108,""),"")</f>
        <v>239.88813793103446</v>
      </c>
      <c r="H108" s="22">
        <f>IFERROR(IF(Yearending&gt;B107,'5. Historical demand'!F108-'5. Historical demand'!C108-'5. Historical demand'!D108,""),"")</f>
        <v>171.43075999999996</v>
      </c>
      <c r="I108" s="22">
        <f t="shared" ref="I108:I171" si="5">IFERROR(IF(Yearending&gt;B107,C108+D108-E108,""),"")</f>
        <v>68.457377931034472</v>
      </c>
    </row>
    <row r="109" spans="2:9" x14ac:dyDescent="0.2">
      <c r="B109" s="192">
        <f t="shared" si="3"/>
        <v>45540</v>
      </c>
      <c r="C109" s="315">
        <v>79.517240000000001</v>
      </c>
      <c r="D109" s="315">
        <v>63.051724137931032</v>
      </c>
      <c r="E109" s="315">
        <v>68.293655172413793</v>
      </c>
      <c r="F109" s="315">
        <v>313.99972413793103</v>
      </c>
      <c r="G109" s="22">
        <f t="shared" si="4"/>
        <v>245.70606896551723</v>
      </c>
      <c r="H109" s="22">
        <f>IFERROR(IF(Yearending&gt;B108,'5. Historical demand'!F109-'5. Historical demand'!C109-'5. Historical demand'!D109,""),"")</f>
        <v>171.43075999999996</v>
      </c>
      <c r="I109" s="22">
        <f t="shared" si="5"/>
        <v>74.27530896551724</v>
      </c>
    </row>
    <row r="110" spans="2:9" x14ac:dyDescent="0.2">
      <c r="B110" s="192">
        <f t="shared" si="3"/>
        <v>45541</v>
      </c>
      <c r="C110" s="315">
        <v>79.517240000000001</v>
      </c>
      <c r="D110" s="315">
        <v>63.051724137931032</v>
      </c>
      <c r="E110" s="315">
        <v>71.705172413793093</v>
      </c>
      <c r="F110" s="315">
        <v>313.99972413793103</v>
      </c>
      <c r="G110" s="22">
        <f t="shared" si="4"/>
        <v>242.29455172413793</v>
      </c>
      <c r="H110" s="22">
        <f>IFERROR(IF(Yearending&gt;B109,'5. Historical demand'!F110-'5. Historical demand'!C110-'5. Historical demand'!D110,""),"")</f>
        <v>171.43075999999996</v>
      </c>
      <c r="I110" s="22">
        <f t="shared" si="5"/>
        <v>70.86379172413794</v>
      </c>
    </row>
    <row r="111" spans="2:9" x14ac:dyDescent="0.2">
      <c r="B111" s="192">
        <f t="shared" si="3"/>
        <v>45542</v>
      </c>
      <c r="C111" s="315">
        <v>79.517240000000001</v>
      </c>
      <c r="D111" s="315">
        <v>63.051724137931032</v>
      </c>
      <c r="E111" s="315">
        <v>83.714068965517242</v>
      </c>
      <c r="F111" s="315">
        <v>313.99972413793103</v>
      </c>
      <c r="G111" s="22">
        <f t="shared" si="4"/>
        <v>230.28565517241378</v>
      </c>
      <c r="H111" s="22">
        <f>IFERROR(IF(Yearending&gt;B110,'5. Historical demand'!F111-'5. Historical demand'!C111-'5. Historical demand'!D111,""),"")</f>
        <v>171.43075999999996</v>
      </c>
      <c r="I111" s="22">
        <f t="shared" si="5"/>
        <v>58.854895172413791</v>
      </c>
    </row>
    <row r="112" spans="2:9" x14ac:dyDescent="0.2">
      <c r="B112" s="192">
        <f t="shared" si="3"/>
        <v>45543</v>
      </c>
      <c r="C112" s="315">
        <v>79.517240000000001</v>
      </c>
      <c r="D112" s="315">
        <v>63.051724137931032</v>
      </c>
      <c r="E112" s="315">
        <v>86.533137931034489</v>
      </c>
      <c r="F112" s="315">
        <v>313.99972413793103</v>
      </c>
      <c r="G112" s="22">
        <f t="shared" si="4"/>
        <v>227.46658620689652</v>
      </c>
      <c r="H112" s="22">
        <f>IFERROR(IF(Yearending&gt;B111,'5. Historical demand'!F112-'5. Historical demand'!C112-'5. Historical demand'!D112,""),"")</f>
        <v>171.43075999999996</v>
      </c>
      <c r="I112" s="22">
        <f t="shared" si="5"/>
        <v>56.035826206896544</v>
      </c>
    </row>
    <row r="113" spans="2:9" x14ac:dyDescent="0.2">
      <c r="B113" s="192">
        <f t="shared" si="3"/>
        <v>45544</v>
      </c>
      <c r="C113" s="315">
        <v>79.517240000000001</v>
      </c>
      <c r="D113" s="315">
        <v>63.051724137931032</v>
      </c>
      <c r="E113" s="315">
        <v>93.252206896551726</v>
      </c>
      <c r="F113" s="315">
        <v>313.99972413793103</v>
      </c>
      <c r="G113" s="22">
        <f t="shared" si="4"/>
        <v>220.74751724137928</v>
      </c>
      <c r="H113" s="22">
        <f>IFERROR(IF(Yearending&gt;B112,'5. Historical demand'!F113-'5. Historical demand'!C113-'5. Historical demand'!D113,""),"")</f>
        <v>171.43075999999996</v>
      </c>
      <c r="I113" s="22">
        <f t="shared" si="5"/>
        <v>49.316757241379307</v>
      </c>
    </row>
    <row r="114" spans="2:9" x14ac:dyDescent="0.2">
      <c r="B114" s="192">
        <f t="shared" si="3"/>
        <v>45545</v>
      </c>
      <c r="C114" s="315">
        <v>79.517240000000001</v>
      </c>
      <c r="D114" s="315">
        <v>63.051724137931032</v>
      </c>
      <c r="E114" s="315">
        <v>84.033068965517245</v>
      </c>
      <c r="F114" s="315">
        <v>313.99972413793103</v>
      </c>
      <c r="G114" s="22">
        <f t="shared" si="4"/>
        <v>229.96665517241377</v>
      </c>
      <c r="H114" s="22">
        <f>IFERROR(IF(Yearending&gt;B113,'5. Historical demand'!F114-'5. Historical demand'!C114-'5. Historical demand'!D114,""),"")</f>
        <v>171.43075999999996</v>
      </c>
      <c r="I114" s="22">
        <f t="shared" si="5"/>
        <v>58.535895172413788</v>
      </c>
    </row>
    <row r="115" spans="2:9" x14ac:dyDescent="0.2">
      <c r="B115" s="192">
        <f t="shared" si="3"/>
        <v>45546</v>
      </c>
      <c r="C115" s="315">
        <v>79.517240000000001</v>
      </c>
      <c r="D115" s="315">
        <v>63.051724137931032</v>
      </c>
      <c r="E115" s="315">
        <v>83.361103448275855</v>
      </c>
      <c r="F115" s="315">
        <v>313.99972413793103</v>
      </c>
      <c r="G115" s="22">
        <f t="shared" si="4"/>
        <v>230.63862068965517</v>
      </c>
      <c r="H115" s="22">
        <f>IFERROR(IF(Yearending&gt;B114,'5. Historical demand'!F115-'5. Historical demand'!C115-'5. Historical demand'!D115,""),"")</f>
        <v>171.43075999999996</v>
      </c>
      <c r="I115" s="22">
        <f t="shared" si="5"/>
        <v>59.207860689655178</v>
      </c>
    </row>
    <row r="116" spans="2:9" x14ac:dyDescent="0.2">
      <c r="B116" s="192">
        <f t="shared" si="3"/>
        <v>45547</v>
      </c>
      <c r="C116" s="315">
        <v>79.517240000000001</v>
      </c>
      <c r="D116" s="315">
        <v>63.051724137931032</v>
      </c>
      <c r="E116" s="315">
        <v>76.125793103448274</v>
      </c>
      <c r="F116" s="315">
        <v>313.99972413793103</v>
      </c>
      <c r="G116" s="22">
        <f t="shared" si="4"/>
        <v>237.87393103448275</v>
      </c>
      <c r="H116" s="22">
        <f>IFERROR(IF(Yearending&gt;B115,'5. Historical demand'!F116-'5. Historical demand'!C116-'5. Historical demand'!D116,""),"")</f>
        <v>171.43075999999996</v>
      </c>
      <c r="I116" s="22">
        <f t="shared" si="5"/>
        <v>66.443171034482759</v>
      </c>
    </row>
    <row r="117" spans="2:9" x14ac:dyDescent="0.2">
      <c r="B117" s="192">
        <f t="shared" si="3"/>
        <v>45548</v>
      </c>
      <c r="C117" s="315">
        <v>79.517240000000001</v>
      </c>
      <c r="D117" s="315">
        <v>63.051724137931032</v>
      </c>
      <c r="E117" s="315">
        <v>81.460689655172416</v>
      </c>
      <c r="F117" s="315">
        <v>313.99972413793103</v>
      </c>
      <c r="G117" s="22">
        <f t="shared" si="4"/>
        <v>232.53903448275861</v>
      </c>
      <c r="H117" s="22">
        <f>IFERROR(IF(Yearending&gt;B116,'5. Historical demand'!F117-'5. Historical demand'!C117-'5. Historical demand'!D117,""),"")</f>
        <v>171.43075999999996</v>
      </c>
      <c r="I117" s="22">
        <f t="shared" si="5"/>
        <v>61.108274482758617</v>
      </c>
    </row>
    <row r="118" spans="2:9" x14ac:dyDescent="0.2">
      <c r="B118" s="192">
        <f t="shared" si="3"/>
        <v>45549</v>
      </c>
      <c r="C118" s="315">
        <v>79.517240000000001</v>
      </c>
      <c r="D118" s="315">
        <v>63.051724137931032</v>
      </c>
      <c r="E118" s="315">
        <v>84.341965517241377</v>
      </c>
      <c r="F118" s="315">
        <v>313.99972413793103</v>
      </c>
      <c r="G118" s="22">
        <f t="shared" si="4"/>
        <v>229.65775862068966</v>
      </c>
      <c r="H118" s="22">
        <f>IFERROR(IF(Yearending&gt;B117,'5. Historical demand'!F118-'5. Historical demand'!C118-'5. Historical demand'!D118,""),"")</f>
        <v>171.43075999999996</v>
      </c>
      <c r="I118" s="22">
        <f t="shared" si="5"/>
        <v>58.226998620689656</v>
      </c>
    </row>
    <row r="119" spans="2:9" x14ac:dyDescent="0.2">
      <c r="B119" s="192">
        <f t="shared" si="3"/>
        <v>45550</v>
      </c>
      <c r="C119" s="315">
        <v>79.517240000000001</v>
      </c>
      <c r="D119" s="315">
        <v>63.051724137931032</v>
      </c>
      <c r="E119" s="315">
        <v>69.675724137931041</v>
      </c>
      <c r="F119" s="315">
        <v>313.99972413793103</v>
      </c>
      <c r="G119" s="22">
        <f t="shared" si="4"/>
        <v>244.32399999999998</v>
      </c>
      <c r="H119" s="22">
        <f>IFERROR(IF(Yearending&gt;B118,'5. Historical demand'!F119-'5. Historical demand'!C119-'5. Historical demand'!D119,""),"")</f>
        <v>171.43075999999996</v>
      </c>
      <c r="I119" s="22">
        <f t="shared" si="5"/>
        <v>72.893239999999992</v>
      </c>
    </row>
    <row r="120" spans="2:9" x14ac:dyDescent="0.2">
      <c r="B120" s="192">
        <f t="shared" si="3"/>
        <v>45551</v>
      </c>
      <c r="C120" s="315">
        <v>79.517240000000001</v>
      </c>
      <c r="D120" s="315">
        <v>63.051724137931032</v>
      </c>
      <c r="E120" s="315">
        <v>78.642344827586214</v>
      </c>
      <c r="F120" s="315">
        <v>313.99972413793103</v>
      </c>
      <c r="G120" s="22">
        <f t="shared" si="4"/>
        <v>235.35737931034481</v>
      </c>
      <c r="H120" s="22">
        <f>IFERROR(IF(Yearending&gt;B119,'5. Historical demand'!F120-'5. Historical demand'!C120-'5. Historical demand'!D120,""),"")</f>
        <v>171.43075999999996</v>
      </c>
      <c r="I120" s="22">
        <f t="shared" si="5"/>
        <v>63.926619310344819</v>
      </c>
    </row>
    <row r="121" spans="2:9" x14ac:dyDescent="0.2">
      <c r="B121" s="192">
        <f t="shared" si="3"/>
        <v>45552</v>
      </c>
      <c r="C121" s="315">
        <v>79.517240000000001</v>
      </c>
      <c r="D121" s="315">
        <v>63.051724137931032</v>
      </c>
      <c r="E121" s="315">
        <v>86.679724137931032</v>
      </c>
      <c r="F121" s="315">
        <v>313.99972413793103</v>
      </c>
      <c r="G121" s="22">
        <f t="shared" si="4"/>
        <v>227.32</v>
      </c>
      <c r="H121" s="22">
        <f>IFERROR(IF(Yearending&gt;B120,'5. Historical demand'!F121-'5. Historical demand'!C121-'5. Historical demand'!D121,""),"")</f>
        <v>171.43075999999996</v>
      </c>
      <c r="I121" s="22">
        <f t="shared" si="5"/>
        <v>55.889240000000001</v>
      </c>
    </row>
    <row r="122" spans="2:9" x14ac:dyDescent="0.2">
      <c r="B122" s="192">
        <f t="shared" si="3"/>
        <v>45553</v>
      </c>
      <c r="C122" s="315">
        <v>79.517240000000001</v>
      </c>
      <c r="D122" s="315">
        <v>63.051724137931032</v>
      </c>
      <c r="E122" s="315">
        <v>78.622655172413786</v>
      </c>
      <c r="F122" s="315">
        <v>313.99972413793103</v>
      </c>
      <c r="G122" s="22">
        <f t="shared" si="4"/>
        <v>235.37706896551725</v>
      </c>
      <c r="H122" s="22">
        <f>IFERROR(IF(Yearending&gt;B121,'5. Historical demand'!F122-'5. Historical demand'!C122-'5. Historical demand'!D122,""),"")</f>
        <v>171.43075999999996</v>
      </c>
      <c r="I122" s="22">
        <f t="shared" si="5"/>
        <v>63.946308965517247</v>
      </c>
    </row>
    <row r="123" spans="2:9" x14ac:dyDescent="0.2">
      <c r="B123" s="192">
        <f t="shared" si="3"/>
        <v>45554</v>
      </c>
      <c r="C123" s="315">
        <v>79.517240000000001</v>
      </c>
      <c r="D123" s="315">
        <v>63.051724137931032</v>
      </c>
      <c r="E123" s="315">
        <v>68.747034482758636</v>
      </c>
      <c r="F123" s="315">
        <v>313.99972413793103</v>
      </c>
      <c r="G123" s="22">
        <f t="shared" si="4"/>
        <v>245.25268965517239</v>
      </c>
      <c r="H123" s="22">
        <f>IFERROR(IF(Yearending&gt;B122,'5. Historical demand'!F123-'5. Historical demand'!C123-'5. Historical demand'!D123,""),"")</f>
        <v>171.43075999999996</v>
      </c>
      <c r="I123" s="22">
        <f t="shared" si="5"/>
        <v>73.821929655172397</v>
      </c>
    </row>
    <row r="124" spans="2:9" x14ac:dyDescent="0.2">
      <c r="B124" s="192">
        <f t="shared" si="3"/>
        <v>45555</v>
      </c>
      <c r="C124" s="315">
        <v>79.517240000000001</v>
      </c>
      <c r="D124" s="315">
        <v>63.051724137931032</v>
      </c>
      <c r="E124" s="315">
        <v>84.348620689655178</v>
      </c>
      <c r="F124" s="315">
        <v>313.99972413793103</v>
      </c>
      <c r="G124" s="22">
        <f t="shared" si="4"/>
        <v>229.65110344827585</v>
      </c>
      <c r="H124" s="22">
        <f>IFERROR(IF(Yearending&gt;B123,'5. Historical demand'!F124-'5. Historical demand'!C124-'5. Historical demand'!D124,""),"")</f>
        <v>171.43075999999996</v>
      </c>
      <c r="I124" s="22">
        <f t="shared" si="5"/>
        <v>58.220343448275855</v>
      </c>
    </row>
    <row r="125" spans="2:9" x14ac:dyDescent="0.2">
      <c r="B125" s="192">
        <f t="shared" si="3"/>
        <v>45556</v>
      </c>
      <c r="C125" s="315">
        <v>79.517240000000001</v>
      </c>
      <c r="D125" s="315">
        <v>63.051724137931032</v>
      </c>
      <c r="E125" s="315">
        <v>79.036206896551732</v>
      </c>
      <c r="F125" s="315">
        <v>313.99972413793103</v>
      </c>
      <c r="G125" s="22">
        <f t="shared" si="4"/>
        <v>234.96351724137929</v>
      </c>
      <c r="H125" s="22">
        <f>IFERROR(IF(Yearending&gt;B124,'5. Historical demand'!F125-'5. Historical demand'!C125-'5. Historical demand'!D125,""),"")</f>
        <v>171.43075999999996</v>
      </c>
      <c r="I125" s="22">
        <f t="shared" si="5"/>
        <v>63.532757241379301</v>
      </c>
    </row>
    <row r="126" spans="2:9" x14ac:dyDescent="0.2">
      <c r="B126" s="192">
        <f t="shared" si="3"/>
        <v>45557</v>
      </c>
      <c r="C126" s="315">
        <v>79.517240000000001</v>
      </c>
      <c r="D126" s="315">
        <v>63.051724137931032</v>
      </c>
      <c r="E126" s="315">
        <v>100.23806896551724</v>
      </c>
      <c r="F126" s="315">
        <v>313.99972413793103</v>
      </c>
      <c r="G126" s="22">
        <f t="shared" si="4"/>
        <v>213.76165517241378</v>
      </c>
      <c r="H126" s="22">
        <f>IFERROR(IF(Yearending&gt;B125,'5. Historical demand'!F126-'5. Historical demand'!C126-'5. Historical demand'!D126,""),"")</f>
        <v>171.43075999999996</v>
      </c>
      <c r="I126" s="22">
        <f t="shared" si="5"/>
        <v>42.33089517241379</v>
      </c>
    </row>
    <row r="127" spans="2:9" x14ac:dyDescent="0.2">
      <c r="B127" s="192">
        <f t="shared" si="3"/>
        <v>45558</v>
      </c>
      <c r="C127" s="315">
        <v>79.517240000000001</v>
      </c>
      <c r="D127" s="315">
        <v>63.051724137931032</v>
      </c>
      <c r="E127" s="315">
        <v>98.206000000000017</v>
      </c>
      <c r="F127" s="315">
        <v>313.99972413793103</v>
      </c>
      <c r="G127" s="22">
        <f t="shared" si="4"/>
        <v>215.79372413793101</v>
      </c>
      <c r="H127" s="22">
        <f>IFERROR(IF(Yearending&gt;B126,'5. Historical demand'!F127-'5. Historical demand'!C127-'5. Historical demand'!D127,""),"")</f>
        <v>171.43075999999996</v>
      </c>
      <c r="I127" s="22">
        <f t="shared" si="5"/>
        <v>44.362964137931016</v>
      </c>
    </row>
    <row r="128" spans="2:9" x14ac:dyDescent="0.2">
      <c r="B128" s="192">
        <f t="shared" si="3"/>
        <v>45559</v>
      </c>
      <c r="C128" s="315">
        <v>79.517240000000001</v>
      </c>
      <c r="D128" s="315">
        <v>63.051724137931032</v>
      </c>
      <c r="E128" s="315">
        <v>99.929103448275868</v>
      </c>
      <c r="F128" s="315">
        <v>313.99972413793103</v>
      </c>
      <c r="G128" s="22">
        <f t="shared" si="4"/>
        <v>214.07062068965516</v>
      </c>
      <c r="H128" s="22">
        <f>IFERROR(IF(Yearending&gt;B127,'5. Historical demand'!F128-'5. Historical demand'!C128-'5. Historical demand'!D128,""),"")</f>
        <v>171.43075999999996</v>
      </c>
      <c r="I128" s="22">
        <f t="shared" si="5"/>
        <v>42.639860689655166</v>
      </c>
    </row>
    <row r="129" spans="2:9" x14ac:dyDescent="0.2">
      <c r="B129" s="192">
        <f t="shared" si="3"/>
        <v>45560</v>
      </c>
      <c r="C129" s="315">
        <v>79.517240000000001</v>
      </c>
      <c r="D129" s="315">
        <v>63.051724137931032</v>
      </c>
      <c r="E129" s="315">
        <v>90.272965517241374</v>
      </c>
      <c r="F129" s="315">
        <v>313.99972413793103</v>
      </c>
      <c r="G129" s="22">
        <f t="shared" si="4"/>
        <v>223.72675862068965</v>
      </c>
      <c r="H129" s="22">
        <f>IFERROR(IF(Yearending&gt;B128,'5. Historical demand'!F129-'5. Historical demand'!C129-'5. Historical demand'!D129,""),"")</f>
        <v>171.43075999999996</v>
      </c>
      <c r="I129" s="22">
        <f t="shared" si="5"/>
        <v>52.295998620689659</v>
      </c>
    </row>
    <row r="130" spans="2:9" x14ac:dyDescent="0.2">
      <c r="B130" s="192">
        <f t="shared" si="3"/>
        <v>45561</v>
      </c>
      <c r="C130" s="315">
        <v>79.517240000000001</v>
      </c>
      <c r="D130" s="315">
        <v>63.051724137931032</v>
      </c>
      <c r="E130" s="315">
        <v>79.431862068965501</v>
      </c>
      <c r="F130" s="315">
        <v>313.99972413793103</v>
      </c>
      <c r="G130" s="22">
        <f t="shared" si="4"/>
        <v>234.56786206896552</v>
      </c>
      <c r="H130" s="22">
        <f>IFERROR(IF(Yearending&gt;B129,'5. Historical demand'!F130-'5. Historical demand'!C130-'5. Historical demand'!D130,""),"")</f>
        <v>171.43075999999996</v>
      </c>
      <c r="I130" s="22">
        <f t="shared" si="5"/>
        <v>63.137102068965532</v>
      </c>
    </row>
    <row r="131" spans="2:9" x14ac:dyDescent="0.2">
      <c r="B131" s="192">
        <f t="shared" si="3"/>
        <v>45562</v>
      </c>
      <c r="C131" s="315">
        <v>79.517240000000001</v>
      </c>
      <c r="D131" s="315">
        <v>63.051724137931032</v>
      </c>
      <c r="E131" s="315">
        <v>87.224724137931034</v>
      </c>
      <c r="F131" s="315">
        <v>313.99972413793103</v>
      </c>
      <c r="G131" s="22">
        <f t="shared" si="4"/>
        <v>226.77499999999998</v>
      </c>
      <c r="H131" s="22">
        <f>IFERROR(IF(Yearending&gt;B130,'5. Historical demand'!F131-'5. Historical demand'!C131-'5. Historical demand'!D131,""),"")</f>
        <v>171.43075999999996</v>
      </c>
      <c r="I131" s="22">
        <f t="shared" si="5"/>
        <v>55.344239999999999</v>
      </c>
    </row>
    <row r="132" spans="2:9" x14ac:dyDescent="0.2">
      <c r="B132" s="192">
        <f t="shared" si="3"/>
        <v>45563</v>
      </c>
      <c r="C132" s="315">
        <v>79.517240000000001</v>
      </c>
      <c r="D132" s="315">
        <v>63.051724137931032</v>
      </c>
      <c r="E132" s="315">
        <v>89.404931034482772</v>
      </c>
      <c r="F132" s="315">
        <v>313.99972413793103</v>
      </c>
      <c r="G132" s="22">
        <f t="shared" si="4"/>
        <v>224.59479310344824</v>
      </c>
      <c r="H132" s="22">
        <f>IFERROR(IF(Yearending&gt;B131,'5. Historical demand'!F132-'5. Historical demand'!C132-'5. Historical demand'!D132,""),"")</f>
        <v>171.43075999999996</v>
      </c>
      <c r="I132" s="22">
        <f t="shared" si="5"/>
        <v>53.164033103448261</v>
      </c>
    </row>
    <row r="133" spans="2:9" x14ac:dyDescent="0.2">
      <c r="B133" s="192">
        <f t="shared" si="3"/>
        <v>45564</v>
      </c>
      <c r="C133" s="315">
        <v>79.517240000000001</v>
      </c>
      <c r="D133" s="315">
        <v>63.051724137931032</v>
      </c>
      <c r="E133" s="315">
        <v>82.408310344827584</v>
      </c>
      <c r="F133" s="315">
        <v>313.99972413793103</v>
      </c>
      <c r="G133" s="22">
        <f t="shared" si="4"/>
        <v>231.59141379310344</v>
      </c>
      <c r="H133" s="22">
        <f>IFERROR(IF(Yearending&gt;B132,'5. Historical demand'!F133-'5. Historical demand'!C133-'5. Historical demand'!D133,""),"")</f>
        <v>171.43075999999996</v>
      </c>
      <c r="I133" s="22">
        <f t="shared" si="5"/>
        <v>60.16065379310345</v>
      </c>
    </row>
    <row r="134" spans="2:9" x14ac:dyDescent="0.2">
      <c r="B134" s="192">
        <f t="shared" si="3"/>
        <v>45565</v>
      </c>
      <c r="C134" s="315">
        <v>79.517240000000001</v>
      </c>
      <c r="D134" s="315">
        <v>63.051724137931032</v>
      </c>
      <c r="E134" s="315">
        <v>85.240965517241392</v>
      </c>
      <c r="F134" s="315">
        <v>313.99972413793103</v>
      </c>
      <c r="G134" s="22">
        <f t="shared" si="4"/>
        <v>228.75875862068963</v>
      </c>
      <c r="H134" s="22">
        <f>IFERROR(IF(Yearending&gt;B133,'5. Historical demand'!F134-'5. Historical demand'!C134-'5. Historical demand'!D134,""),"")</f>
        <v>171.43075999999996</v>
      </c>
      <c r="I134" s="22">
        <f t="shared" si="5"/>
        <v>57.327998620689641</v>
      </c>
    </row>
    <row r="135" spans="2:9" x14ac:dyDescent="0.2">
      <c r="B135" s="192">
        <f t="shared" si="3"/>
        <v>45566</v>
      </c>
      <c r="C135" s="315">
        <v>79.517240000000001</v>
      </c>
      <c r="D135" s="315">
        <v>63.051724137931032</v>
      </c>
      <c r="E135" s="315">
        <v>77.683103448275858</v>
      </c>
      <c r="F135" s="315">
        <v>313.99972413793103</v>
      </c>
      <c r="G135" s="22">
        <f t="shared" si="4"/>
        <v>236.31662068965517</v>
      </c>
      <c r="H135" s="22">
        <f>IFERROR(IF(Yearending&gt;B134,'5. Historical demand'!F135-'5. Historical demand'!C135-'5. Historical demand'!D135,""),"")</f>
        <v>171.43075999999996</v>
      </c>
      <c r="I135" s="22">
        <f t="shared" si="5"/>
        <v>64.885860689655175</v>
      </c>
    </row>
    <row r="136" spans="2:9" x14ac:dyDescent="0.2">
      <c r="B136" s="192">
        <f t="shared" si="3"/>
        <v>45567</v>
      </c>
      <c r="C136" s="315">
        <v>79.517240000000001</v>
      </c>
      <c r="D136" s="315">
        <v>63.051724137931032</v>
      </c>
      <c r="E136" s="315">
        <v>72.843379310344829</v>
      </c>
      <c r="F136" s="315">
        <v>313.99972413793103</v>
      </c>
      <c r="G136" s="22">
        <f t="shared" si="4"/>
        <v>241.1563448275862</v>
      </c>
      <c r="H136" s="22">
        <f>IFERROR(IF(Yearending&gt;B135,'5. Historical demand'!F136-'5. Historical demand'!C136-'5. Historical demand'!D136,""),"")</f>
        <v>171.43075999999996</v>
      </c>
      <c r="I136" s="22">
        <f t="shared" si="5"/>
        <v>69.725584827586204</v>
      </c>
    </row>
    <row r="137" spans="2:9" x14ac:dyDescent="0.2">
      <c r="B137" s="192">
        <f t="shared" si="3"/>
        <v>45568</v>
      </c>
      <c r="C137" s="315">
        <v>79.517240000000001</v>
      </c>
      <c r="D137" s="315">
        <v>63.051724137931032</v>
      </c>
      <c r="E137" s="315">
        <v>85.626448275862074</v>
      </c>
      <c r="F137" s="315">
        <v>313.99972413793103</v>
      </c>
      <c r="G137" s="22">
        <f t="shared" si="4"/>
        <v>228.37327586206897</v>
      </c>
      <c r="H137" s="22">
        <f>IFERROR(IF(Yearending&gt;B136,'5. Historical demand'!F137-'5. Historical demand'!C137-'5. Historical demand'!D137,""),"")</f>
        <v>171.43075999999996</v>
      </c>
      <c r="I137" s="22">
        <f t="shared" si="5"/>
        <v>56.942515862068959</v>
      </c>
    </row>
    <row r="138" spans="2:9" x14ac:dyDescent="0.2">
      <c r="B138" s="192">
        <f t="shared" si="3"/>
        <v>45569</v>
      </c>
      <c r="C138" s="315">
        <v>79.517240000000001</v>
      </c>
      <c r="D138" s="315">
        <v>63.051724137931032</v>
      </c>
      <c r="E138" s="315">
        <v>87.740620689655174</v>
      </c>
      <c r="F138" s="315">
        <v>313.99972413793103</v>
      </c>
      <c r="G138" s="22">
        <f t="shared" si="4"/>
        <v>226.25910344827585</v>
      </c>
      <c r="H138" s="22">
        <f>IFERROR(IF(Yearending&gt;B137,'5. Historical demand'!F138-'5. Historical demand'!C138-'5. Historical demand'!D138,""),"")</f>
        <v>171.43075999999996</v>
      </c>
      <c r="I138" s="22">
        <f t="shared" si="5"/>
        <v>54.828343448275859</v>
      </c>
    </row>
    <row r="139" spans="2:9" x14ac:dyDescent="0.2">
      <c r="B139" s="192">
        <f t="shared" si="3"/>
        <v>45570</v>
      </c>
      <c r="C139" s="315">
        <v>79.517240000000001</v>
      </c>
      <c r="D139" s="315">
        <v>63.051724137931032</v>
      </c>
      <c r="E139" s="315">
        <v>79.28706896551725</v>
      </c>
      <c r="F139" s="315">
        <v>313.99972413793103</v>
      </c>
      <c r="G139" s="22">
        <f t="shared" si="4"/>
        <v>234.71265517241378</v>
      </c>
      <c r="H139" s="22">
        <f>IFERROR(IF(Yearending&gt;B138,'5. Historical demand'!F139-'5. Historical demand'!C139-'5. Historical demand'!D139,""),"")</f>
        <v>171.43075999999996</v>
      </c>
      <c r="I139" s="22">
        <f t="shared" si="5"/>
        <v>63.281895172413783</v>
      </c>
    </row>
    <row r="140" spans="2:9" x14ac:dyDescent="0.2">
      <c r="B140" s="192">
        <f t="shared" si="3"/>
        <v>45571</v>
      </c>
      <c r="C140" s="315">
        <v>79.517240000000001</v>
      </c>
      <c r="D140" s="315">
        <v>63.051724137931032</v>
      </c>
      <c r="E140" s="315">
        <v>65.863862068965517</v>
      </c>
      <c r="F140" s="315">
        <v>313.99972413793103</v>
      </c>
      <c r="G140" s="22">
        <f t="shared" si="4"/>
        <v>248.13586206896551</v>
      </c>
      <c r="H140" s="22">
        <f>IFERROR(IF(Yearending&gt;B139,'5. Historical demand'!F140-'5. Historical demand'!C140-'5. Historical demand'!D140,""),"")</f>
        <v>171.43075999999996</v>
      </c>
      <c r="I140" s="22">
        <f t="shared" si="5"/>
        <v>76.705102068965516</v>
      </c>
    </row>
    <row r="141" spans="2:9" x14ac:dyDescent="0.2">
      <c r="B141" s="192">
        <f t="shared" si="3"/>
        <v>45572</v>
      </c>
      <c r="C141" s="315">
        <v>79.517240000000001</v>
      </c>
      <c r="D141" s="315">
        <v>63.051724137931032</v>
      </c>
      <c r="E141" s="315">
        <v>84.086999999999989</v>
      </c>
      <c r="F141" s="315">
        <v>313.99972413793103</v>
      </c>
      <c r="G141" s="22">
        <f t="shared" si="4"/>
        <v>229.91272413793104</v>
      </c>
      <c r="H141" s="22">
        <f>IFERROR(IF(Yearending&gt;B140,'5. Historical demand'!F141-'5. Historical demand'!C141-'5. Historical demand'!D141,""),"")</f>
        <v>171.43075999999996</v>
      </c>
      <c r="I141" s="22">
        <f t="shared" si="5"/>
        <v>58.481964137931044</v>
      </c>
    </row>
    <row r="142" spans="2:9" x14ac:dyDescent="0.2">
      <c r="B142" s="192">
        <f t="shared" si="3"/>
        <v>45573</v>
      </c>
      <c r="C142" s="315">
        <v>79.517240000000001</v>
      </c>
      <c r="D142" s="315">
        <v>63.051724137931032</v>
      </c>
      <c r="E142" s="315">
        <v>80.531137931034493</v>
      </c>
      <c r="F142" s="315">
        <v>313.99972413793103</v>
      </c>
      <c r="G142" s="22">
        <f t="shared" si="4"/>
        <v>233.46858620689653</v>
      </c>
      <c r="H142" s="22">
        <f>IFERROR(IF(Yearending&gt;B141,'5. Historical demand'!F142-'5. Historical demand'!C142-'5. Historical demand'!D142,""),"")</f>
        <v>171.43075999999996</v>
      </c>
      <c r="I142" s="22">
        <f t="shared" si="5"/>
        <v>62.03782620689654</v>
      </c>
    </row>
    <row r="143" spans="2:9" x14ac:dyDescent="0.2">
      <c r="B143" s="192">
        <f t="shared" si="3"/>
        <v>45574</v>
      </c>
      <c r="C143" s="315">
        <v>79.517240000000001</v>
      </c>
      <c r="D143" s="315">
        <v>63.051724137931032</v>
      </c>
      <c r="E143" s="315">
        <v>86.021689655172423</v>
      </c>
      <c r="F143" s="315">
        <v>313.99972413793103</v>
      </c>
      <c r="G143" s="22">
        <f t="shared" si="4"/>
        <v>227.9780344827586</v>
      </c>
      <c r="H143" s="22">
        <f>IFERROR(IF(Yearending&gt;B142,'5. Historical demand'!F143-'5. Historical demand'!C143-'5. Historical demand'!D143,""),"")</f>
        <v>171.43075999999996</v>
      </c>
      <c r="I143" s="22">
        <f t="shared" si="5"/>
        <v>56.54727448275861</v>
      </c>
    </row>
    <row r="144" spans="2:9" x14ac:dyDescent="0.2">
      <c r="B144" s="192">
        <f t="shared" si="3"/>
        <v>45575</v>
      </c>
      <c r="C144" s="315">
        <v>79.517240000000001</v>
      </c>
      <c r="D144" s="315">
        <v>63.051724137931032</v>
      </c>
      <c r="E144" s="315">
        <v>82.541172413793106</v>
      </c>
      <c r="F144" s="315">
        <v>313.99972413793103</v>
      </c>
      <c r="G144" s="22">
        <f t="shared" si="4"/>
        <v>231.45855172413792</v>
      </c>
      <c r="H144" s="22">
        <f>IFERROR(IF(Yearending&gt;B143,'5. Historical demand'!F144-'5. Historical demand'!C144-'5. Historical demand'!D144,""),"")</f>
        <v>171.43075999999996</v>
      </c>
      <c r="I144" s="22">
        <f t="shared" si="5"/>
        <v>60.027791724137927</v>
      </c>
    </row>
    <row r="145" spans="2:9" x14ac:dyDescent="0.2">
      <c r="B145" s="192">
        <f t="shared" si="3"/>
        <v>45576</v>
      </c>
      <c r="C145" s="315">
        <v>79.517240000000001</v>
      </c>
      <c r="D145" s="315">
        <v>63.051724137931032</v>
      </c>
      <c r="E145" s="315">
        <v>71.189482758620699</v>
      </c>
      <c r="F145" s="315">
        <v>313.99972413793103</v>
      </c>
      <c r="G145" s="22">
        <f t="shared" si="4"/>
        <v>242.81024137931033</v>
      </c>
      <c r="H145" s="22">
        <f>IFERROR(IF(Yearending&gt;B144,'5. Historical demand'!F145-'5. Historical demand'!C145-'5. Historical demand'!D145,""),"")</f>
        <v>171.43075999999996</v>
      </c>
      <c r="I145" s="22">
        <f t="shared" si="5"/>
        <v>71.379481379310334</v>
      </c>
    </row>
    <row r="146" spans="2:9" x14ac:dyDescent="0.2">
      <c r="B146" s="192">
        <f t="shared" si="3"/>
        <v>45577</v>
      </c>
      <c r="C146" s="315">
        <v>79.517240000000001</v>
      </c>
      <c r="D146" s="315">
        <v>63.051724137931032</v>
      </c>
      <c r="E146" s="315">
        <v>64.733137931034477</v>
      </c>
      <c r="F146" s="315">
        <v>313.99972413793103</v>
      </c>
      <c r="G146" s="22">
        <f t="shared" si="4"/>
        <v>249.26658620689653</v>
      </c>
      <c r="H146" s="22">
        <f>IFERROR(IF(Yearending&gt;B145,'5. Historical demand'!F146-'5. Historical demand'!C146-'5. Historical demand'!D146,""),"")</f>
        <v>171.43075999999996</v>
      </c>
      <c r="I146" s="22">
        <f t="shared" si="5"/>
        <v>77.835826206896556</v>
      </c>
    </row>
    <row r="147" spans="2:9" x14ac:dyDescent="0.2">
      <c r="B147" s="192">
        <f t="shared" si="3"/>
        <v>45578</v>
      </c>
      <c r="C147" s="315">
        <v>79.517240000000001</v>
      </c>
      <c r="D147" s="315">
        <v>63.051724137931032</v>
      </c>
      <c r="E147" s="315">
        <v>84.186413793103455</v>
      </c>
      <c r="F147" s="315">
        <v>313.99972413793103</v>
      </c>
      <c r="G147" s="22">
        <f t="shared" si="4"/>
        <v>229.81331034482758</v>
      </c>
      <c r="H147" s="22">
        <f>IFERROR(IF(Yearending&gt;B146,'5. Historical demand'!F147-'5. Historical demand'!C147-'5. Historical demand'!D147,""),"")</f>
        <v>171.43075999999996</v>
      </c>
      <c r="I147" s="22">
        <f t="shared" si="5"/>
        <v>58.382550344827578</v>
      </c>
    </row>
    <row r="148" spans="2:9" x14ac:dyDescent="0.2">
      <c r="B148" s="192">
        <f t="shared" si="3"/>
        <v>45579</v>
      </c>
      <c r="C148" s="315">
        <v>79.517240000000001</v>
      </c>
      <c r="D148" s="315">
        <v>63.051724137931032</v>
      </c>
      <c r="E148" s="315">
        <v>95.772724137931036</v>
      </c>
      <c r="F148" s="315">
        <v>313.99972413793103</v>
      </c>
      <c r="G148" s="22">
        <f t="shared" si="4"/>
        <v>218.22699999999998</v>
      </c>
      <c r="H148" s="22">
        <f>IFERROR(IF(Yearending&gt;B147,'5. Historical demand'!F148-'5. Historical demand'!C148-'5. Historical demand'!D148,""),"")</f>
        <v>171.43075999999996</v>
      </c>
      <c r="I148" s="22">
        <f t="shared" si="5"/>
        <v>46.796239999999997</v>
      </c>
    </row>
    <row r="149" spans="2:9" x14ac:dyDescent="0.2">
      <c r="B149" s="192">
        <f t="shared" si="3"/>
        <v>45580</v>
      </c>
      <c r="C149" s="315">
        <v>79.517240000000001</v>
      </c>
      <c r="D149" s="315">
        <v>63.051724137931032</v>
      </c>
      <c r="E149" s="315">
        <v>82.875931034482761</v>
      </c>
      <c r="F149" s="315">
        <v>313.99972413793103</v>
      </c>
      <c r="G149" s="22">
        <f t="shared" si="4"/>
        <v>231.12379310344826</v>
      </c>
      <c r="H149" s="22">
        <f>IFERROR(IF(Yearending&gt;B148,'5. Historical demand'!F149-'5. Historical demand'!C149-'5. Historical demand'!D149,""),"")</f>
        <v>171.43075999999996</v>
      </c>
      <c r="I149" s="22">
        <f t="shared" si="5"/>
        <v>59.693033103448272</v>
      </c>
    </row>
    <row r="150" spans="2:9" x14ac:dyDescent="0.2">
      <c r="B150" s="192">
        <f t="shared" si="3"/>
        <v>45581</v>
      </c>
      <c r="C150" s="315">
        <v>79.517240000000001</v>
      </c>
      <c r="D150" s="315">
        <v>63.051724137931032</v>
      </c>
      <c r="E150" s="315">
        <v>88.960724137931038</v>
      </c>
      <c r="F150" s="315">
        <v>313.99972413793103</v>
      </c>
      <c r="G150" s="22">
        <f t="shared" si="4"/>
        <v>225.03899999999999</v>
      </c>
      <c r="H150" s="22">
        <f>IFERROR(IF(Yearending&gt;B149,'5. Historical demand'!F150-'5. Historical demand'!C150-'5. Historical demand'!D150,""),"")</f>
        <v>171.43075999999996</v>
      </c>
      <c r="I150" s="22">
        <f t="shared" si="5"/>
        <v>53.608239999999995</v>
      </c>
    </row>
    <row r="151" spans="2:9" x14ac:dyDescent="0.2">
      <c r="B151" s="192">
        <f t="shared" si="3"/>
        <v>45582</v>
      </c>
      <c r="C151" s="315">
        <v>79.517240000000001</v>
      </c>
      <c r="D151" s="315">
        <v>63.051724137931032</v>
      </c>
      <c r="E151" s="315">
        <v>63.719620689655166</v>
      </c>
      <c r="F151" s="315">
        <v>313.99972413793103</v>
      </c>
      <c r="G151" s="22">
        <f t="shared" si="4"/>
        <v>250.28010344827587</v>
      </c>
      <c r="H151" s="22">
        <f>IFERROR(IF(Yearending&gt;B150,'5. Historical demand'!F151-'5. Historical demand'!C151-'5. Historical demand'!D151,""),"")</f>
        <v>171.43075999999996</v>
      </c>
      <c r="I151" s="22">
        <f t="shared" si="5"/>
        <v>78.849343448275874</v>
      </c>
    </row>
    <row r="152" spans="2:9" x14ac:dyDescent="0.2">
      <c r="B152" s="192">
        <f t="shared" si="3"/>
        <v>45583</v>
      </c>
      <c r="C152" s="315">
        <v>79.517240000000001</v>
      </c>
      <c r="D152" s="315">
        <v>63.051724137931032</v>
      </c>
      <c r="E152" s="315">
        <v>76.666689655172405</v>
      </c>
      <c r="F152" s="315">
        <v>313.99972413793103</v>
      </c>
      <c r="G152" s="22">
        <f t="shared" si="4"/>
        <v>237.33303448275862</v>
      </c>
      <c r="H152" s="22">
        <f>IFERROR(IF(Yearending&gt;B151,'5. Historical demand'!F152-'5. Historical demand'!C152-'5. Historical demand'!D152,""),"")</f>
        <v>171.43075999999996</v>
      </c>
      <c r="I152" s="22">
        <f t="shared" si="5"/>
        <v>65.902274482758628</v>
      </c>
    </row>
    <row r="153" spans="2:9" x14ac:dyDescent="0.2">
      <c r="B153" s="192">
        <f t="shared" si="3"/>
        <v>45584</v>
      </c>
      <c r="C153" s="315">
        <v>79.517240000000001</v>
      </c>
      <c r="D153" s="315">
        <v>63.051724137931032</v>
      </c>
      <c r="E153" s="315">
        <v>74.919344827586215</v>
      </c>
      <c r="F153" s="315">
        <v>313.99972413793103</v>
      </c>
      <c r="G153" s="22">
        <f t="shared" si="4"/>
        <v>239.08037931034482</v>
      </c>
      <c r="H153" s="22">
        <f>IFERROR(IF(Yearending&gt;B152,'5. Historical demand'!F153-'5. Historical demand'!C153-'5. Historical demand'!D153,""),"")</f>
        <v>171.43075999999996</v>
      </c>
      <c r="I153" s="22">
        <f t="shared" si="5"/>
        <v>67.649619310344818</v>
      </c>
    </row>
    <row r="154" spans="2:9" x14ac:dyDescent="0.2">
      <c r="B154" s="192">
        <f t="shared" si="3"/>
        <v>45585</v>
      </c>
      <c r="C154" s="315">
        <v>79.517240000000001</v>
      </c>
      <c r="D154" s="315">
        <v>63.051724137931032</v>
      </c>
      <c r="E154" s="315">
        <v>68.333827586206894</v>
      </c>
      <c r="F154" s="315">
        <v>313.99972413793103</v>
      </c>
      <c r="G154" s="22">
        <f t="shared" si="4"/>
        <v>245.66589655172413</v>
      </c>
      <c r="H154" s="22">
        <f>IFERROR(IF(Yearending&gt;B153,'5. Historical demand'!F154-'5. Historical demand'!C154-'5. Historical demand'!D154,""),"")</f>
        <v>171.43075999999996</v>
      </c>
      <c r="I154" s="22">
        <f t="shared" si="5"/>
        <v>74.235136551724139</v>
      </c>
    </row>
    <row r="155" spans="2:9" x14ac:dyDescent="0.2">
      <c r="B155" s="192">
        <f t="shared" si="3"/>
        <v>45586</v>
      </c>
      <c r="C155" s="315">
        <v>79.517240000000001</v>
      </c>
      <c r="D155" s="315">
        <v>63.051724137931032</v>
      </c>
      <c r="E155" s="315">
        <v>79.647068965517235</v>
      </c>
      <c r="F155" s="315">
        <v>313.99972413793103</v>
      </c>
      <c r="G155" s="22">
        <f t="shared" si="4"/>
        <v>234.35265517241379</v>
      </c>
      <c r="H155" s="22">
        <f>IFERROR(IF(Yearending&gt;B154,'5. Historical demand'!F155-'5. Historical demand'!C155-'5. Historical demand'!D155,""),"")</f>
        <v>171.43075999999996</v>
      </c>
      <c r="I155" s="22">
        <f t="shared" si="5"/>
        <v>62.921895172413798</v>
      </c>
    </row>
    <row r="156" spans="2:9" x14ac:dyDescent="0.2">
      <c r="B156" s="192">
        <f t="shared" si="3"/>
        <v>45587</v>
      </c>
      <c r="C156" s="315">
        <v>79.517240000000001</v>
      </c>
      <c r="D156" s="315">
        <v>63.051724137931032</v>
      </c>
      <c r="E156" s="315">
        <v>83.531931034482753</v>
      </c>
      <c r="F156" s="315">
        <v>313.99972413793103</v>
      </c>
      <c r="G156" s="22">
        <f t="shared" si="4"/>
        <v>230.46779310344829</v>
      </c>
      <c r="H156" s="22">
        <f>IFERROR(IF(Yearending&gt;B155,'5. Historical demand'!F156-'5. Historical demand'!C156-'5. Historical demand'!D156,""),"")</f>
        <v>171.43075999999996</v>
      </c>
      <c r="I156" s="22">
        <f t="shared" si="5"/>
        <v>59.03703310344828</v>
      </c>
    </row>
    <row r="157" spans="2:9" x14ac:dyDescent="0.2">
      <c r="B157" s="192">
        <f t="shared" si="3"/>
        <v>45588</v>
      </c>
      <c r="C157" s="315">
        <v>79.517240000000001</v>
      </c>
      <c r="D157" s="315">
        <v>63.051724137931032</v>
      </c>
      <c r="E157" s="315">
        <v>81.565344827586216</v>
      </c>
      <c r="F157" s="315">
        <v>313.99972413793103</v>
      </c>
      <c r="G157" s="22">
        <f t="shared" si="4"/>
        <v>232.43437931034481</v>
      </c>
      <c r="H157" s="22">
        <f>IFERROR(IF(Yearending&gt;B156,'5. Historical demand'!F157-'5. Historical demand'!C157-'5. Historical demand'!D157,""),"")</f>
        <v>171.43075999999996</v>
      </c>
      <c r="I157" s="22">
        <f t="shared" si="5"/>
        <v>61.003619310344817</v>
      </c>
    </row>
    <row r="158" spans="2:9" x14ac:dyDescent="0.2">
      <c r="B158" s="192">
        <f t="shared" si="3"/>
        <v>45589</v>
      </c>
      <c r="C158" s="315">
        <v>79.517240000000001</v>
      </c>
      <c r="D158" s="315">
        <v>63.051724137931032</v>
      </c>
      <c r="E158" s="315">
        <v>84.461172413793093</v>
      </c>
      <c r="F158" s="315">
        <v>313.99972413793103</v>
      </c>
      <c r="G158" s="22">
        <f t="shared" si="4"/>
        <v>229.53855172413793</v>
      </c>
      <c r="H158" s="22">
        <f>IFERROR(IF(Yearending&gt;B157,'5. Historical demand'!F158-'5. Historical demand'!C158-'5. Historical demand'!D158,""),"")</f>
        <v>171.43075999999996</v>
      </c>
      <c r="I158" s="22">
        <f t="shared" si="5"/>
        <v>58.10779172413794</v>
      </c>
    </row>
    <row r="159" spans="2:9" x14ac:dyDescent="0.2">
      <c r="B159" s="192">
        <f t="shared" si="3"/>
        <v>45590</v>
      </c>
      <c r="C159" s="315">
        <v>79.517240000000001</v>
      </c>
      <c r="D159" s="315">
        <v>63.051724137931032</v>
      </c>
      <c r="E159" s="315">
        <v>86.267413793103444</v>
      </c>
      <c r="F159" s="315">
        <v>313.99972413793103</v>
      </c>
      <c r="G159" s="22">
        <f t="shared" si="4"/>
        <v>227.73231034482757</v>
      </c>
      <c r="H159" s="22">
        <f>IFERROR(IF(Yearending&gt;B158,'5. Historical demand'!F159-'5. Historical demand'!C159-'5. Historical demand'!D159,""),"")</f>
        <v>171.43075999999996</v>
      </c>
      <c r="I159" s="22">
        <f t="shared" si="5"/>
        <v>56.301550344827589</v>
      </c>
    </row>
    <row r="160" spans="2:9" x14ac:dyDescent="0.2">
      <c r="B160" s="192">
        <f t="shared" si="3"/>
        <v>45591</v>
      </c>
      <c r="C160" s="315">
        <v>79.517240000000001</v>
      </c>
      <c r="D160" s="315">
        <v>63.051724137931032</v>
      </c>
      <c r="E160" s="315">
        <v>78.295310344827584</v>
      </c>
      <c r="F160" s="315">
        <v>313.99972413793103</v>
      </c>
      <c r="G160" s="22">
        <f t="shared" si="4"/>
        <v>235.70441379310344</v>
      </c>
      <c r="H160" s="22">
        <f>IFERROR(IF(Yearending&gt;B159,'5. Historical demand'!F160-'5. Historical demand'!C160-'5. Historical demand'!D160,""),"")</f>
        <v>171.43075999999996</v>
      </c>
      <c r="I160" s="22">
        <f t="shared" si="5"/>
        <v>64.273653793103449</v>
      </c>
    </row>
    <row r="161" spans="2:9" x14ac:dyDescent="0.2">
      <c r="B161" s="192">
        <f t="shared" si="3"/>
        <v>45592</v>
      </c>
      <c r="C161" s="315">
        <v>79.517240000000001</v>
      </c>
      <c r="D161" s="315">
        <v>63.051724137931032</v>
      </c>
      <c r="E161" s="315">
        <v>86.02417241379311</v>
      </c>
      <c r="F161" s="315">
        <v>313.99972413793103</v>
      </c>
      <c r="G161" s="22">
        <f t="shared" si="4"/>
        <v>227.97555172413792</v>
      </c>
      <c r="H161" s="22">
        <f>IFERROR(IF(Yearending&gt;B160,'5. Historical demand'!F161-'5. Historical demand'!C161-'5. Historical demand'!D161,""),"")</f>
        <v>171.43075999999996</v>
      </c>
      <c r="I161" s="22">
        <f t="shared" si="5"/>
        <v>56.544791724137923</v>
      </c>
    </row>
    <row r="162" spans="2:9" x14ac:dyDescent="0.2">
      <c r="B162" s="192">
        <f t="shared" si="3"/>
        <v>45593</v>
      </c>
      <c r="C162" s="315">
        <v>79.517240000000001</v>
      </c>
      <c r="D162" s="315">
        <v>63.051724137931032</v>
      </c>
      <c r="E162" s="315">
        <v>87.530827586206897</v>
      </c>
      <c r="F162" s="315">
        <v>313.99972413793103</v>
      </c>
      <c r="G162" s="22">
        <f t="shared" si="4"/>
        <v>226.46889655172413</v>
      </c>
      <c r="H162" s="22">
        <f>IFERROR(IF(Yearending&gt;B161,'5. Historical demand'!F162-'5. Historical demand'!C162-'5. Historical demand'!D162,""),"")</f>
        <v>171.43075999999996</v>
      </c>
      <c r="I162" s="22">
        <f t="shared" si="5"/>
        <v>55.038136551724136</v>
      </c>
    </row>
    <row r="163" spans="2:9" x14ac:dyDescent="0.2">
      <c r="B163" s="192">
        <f t="shared" si="3"/>
        <v>45594</v>
      </c>
      <c r="C163" s="315">
        <v>79.517240000000001</v>
      </c>
      <c r="D163" s="315">
        <v>63.051724137931032</v>
      </c>
      <c r="E163" s="315">
        <v>91.188482758620694</v>
      </c>
      <c r="F163" s="315">
        <v>313.99972413793103</v>
      </c>
      <c r="G163" s="22">
        <f t="shared" si="4"/>
        <v>222.81124137931033</v>
      </c>
      <c r="H163" s="22">
        <f>IFERROR(IF(Yearending&gt;B162,'5. Historical demand'!F163-'5. Historical demand'!C163-'5. Historical demand'!D163,""),"")</f>
        <v>171.43075999999996</v>
      </c>
      <c r="I163" s="22">
        <f t="shared" si="5"/>
        <v>51.380481379310339</v>
      </c>
    </row>
    <row r="164" spans="2:9" x14ac:dyDescent="0.2">
      <c r="B164" s="192">
        <f t="shared" si="3"/>
        <v>45595</v>
      </c>
      <c r="C164" s="315">
        <v>79.517240000000001</v>
      </c>
      <c r="D164" s="315">
        <v>63.051724137931032</v>
      </c>
      <c r="E164" s="315">
        <v>71.288965517241394</v>
      </c>
      <c r="F164" s="315">
        <v>313.99972413793103</v>
      </c>
      <c r="G164" s="22">
        <f t="shared" si="4"/>
        <v>242.71075862068963</v>
      </c>
      <c r="H164" s="22">
        <f>IFERROR(IF(Yearending&gt;B163,'5. Historical demand'!F164-'5. Historical demand'!C164-'5. Historical demand'!D164,""),"")</f>
        <v>171.43075999999996</v>
      </c>
      <c r="I164" s="22">
        <f t="shared" si="5"/>
        <v>71.279998620689639</v>
      </c>
    </row>
    <row r="165" spans="2:9" x14ac:dyDescent="0.2">
      <c r="B165" s="192">
        <f t="shared" si="3"/>
        <v>45596</v>
      </c>
      <c r="C165" s="315">
        <v>79.517240000000001</v>
      </c>
      <c r="D165" s="315">
        <v>63.051724137931032</v>
      </c>
      <c r="E165" s="315">
        <v>72.993517241379323</v>
      </c>
      <c r="F165" s="315">
        <v>313.99972413793103</v>
      </c>
      <c r="G165" s="22">
        <f t="shared" si="4"/>
        <v>241.0062068965517</v>
      </c>
      <c r="H165" s="22">
        <f>IFERROR(IF(Yearending&gt;B164,'5. Historical demand'!F165-'5. Historical demand'!C165-'5. Historical demand'!D165,""),"")</f>
        <v>171.43075999999996</v>
      </c>
      <c r="I165" s="22">
        <f t="shared" si="5"/>
        <v>69.575446896551711</v>
      </c>
    </row>
    <row r="166" spans="2:9" x14ac:dyDescent="0.2">
      <c r="B166" s="192">
        <f t="shared" si="3"/>
        <v>45597</v>
      </c>
      <c r="C166" s="315">
        <v>79.517240000000001</v>
      </c>
      <c r="D166" s="315">
        <v>63.051724137931032</v>
      </c>
      <c r="E166" s="315">
        <v>73.724413793103452</v>
      </c>
      <c r="F166" s="315">
        <v>313.99972413793103</v>
      </c>
      <c r="G166" s="22">
        <f t="shared" si="4"/>
        <v>240.27531034482757</v>
      </c>
      <c r="H166" s="22">
        <f>IFERROR(IF(Yearending&gt;B165,'5. Historical demand'!F166-'5. Historical demand'!C166-'5. Historical demand'!D166,""),"")</f>
        <v>171.43075999999996</v>
      </c>
      <c r="I166" s="22">
        <f t="shared" si="5"/>
        <v>68.844550344827582</v>
      </c>
    </row>
    <row r="167" spans="2:9" x14ac:dyDescent="0.2">
      <c r="B167" s="192">
        <f t="shared" si="3"/>
        <v>45598</v>
      </c>
      <c r="C167" s="315">
        <v>79.517240000000001</v>
      </c>
      <c r="D167" s="315">
        <v>63.051724137931032</v>
      </c>
      <c r="E167" s="315">
        <v>74.146034482758608</v>
      </c>
      <c r="F167" s="315">
        <v>313.99972413793103</v>
      </c>
      <c r="G167" s="22">
        <f t="shared" si="4"/>
        <v>239.85368965517242</v>
      </c>
      <c r="H167" s="22">
        <f>IFERROR(IF(Yearending&gt;B166,'5. Historical demand'!F167-'5. Historical demand'!C167-'5. Historical demand'!D167,""),"")</f>
        <v>171.43075999999996</v>
      </c>
      <c r="I167" s="22">
        <f t="shared" si="5"/>
        <v>68.422929655172425</v>
      </c>
    </row>
    <row r="168" spans="2:9" x14ac:dyDescent="0.2">
      <c r="B168" s="192">
        <f t="shared" si="3"/>
        <v>45599</v>
      </c>
      <c r="C168" s="315">
        <v>79.517240000000001</v>
      </c>
      <c r="D168" s="315">
        <v>63.051724137931032</v>
      </c>
      <c r="E168" s="315">
        <v>91.320965517241376</v>
      </c>
      <c r="F168" s="315">
        <v>313.99972413793103</v>
      </c>
      <c r="G168" s="22">
        <f t="shared" si="4"/>
        <v>222.67875862068965</v>
      </c>
      <c r="H168" s="22">
        <f>IFERROR(IF(Yearending&gt;B167,'5. Historical demand'!F168-'5. Historical demand'!C168-'5. Historical demand'!D168,""),"")</f>
        <v>171.43075999999996</v>
      </c>
      <c r="I168" s="22">
        <f t="shared" si="5"/>
        <v>51.247998620689657</v>
      </c>
    </row>
    <row r="169" spans="2:9" x14ac:dyDescent="0.2">
      <c r="B169" s="192">
        <f t="shared" si="3"/>
        <v>45600</v>
      </c>
      <c r="C169" s="315">
        <v>79.517240000000001</v>
      </c>
      <c r="D169" s="315">
        <v>63.051724137931032</v>
      </c>
      <c r="E169" s="315">
        <v>96.731275862068969</v>
      </c>
      <c r="F169" s="315">
        <v>313.99972413793103</v>
      </c>
      <c r="G169" s="22">
        <f t="shared" si="4"/>
        <v>217.26844827586206</v>
      </c>
      <c r="H169" s="22">
        <f>IFERROR(IF(Yearending&gt;B168,'5. Historical demand'!F169-'5. Historical demand'!C169-'5. Historical demand'!D169,""),"")</f>
        <v>171.43075999999996</v>
      </c>
      <c r="I169" s="22">
        <f t="shared" si="5"/>
        <v>45.837688275862064</v>
      </c>
    </row>
    <row r="170" spans="2:9" x14ac:dyDescent="0.2">
      <c r="B170" s="192">
        <f t="shared" si="3"/>
        <v>45601</v>
      </c>
      <c r="C170" s="315">
        <v>79.517240000000001</v>
      </c>
      <c r="D170" s="315">
        <v>63.051724137931032</v>
      </c>
      <c r="E170" s="315">
        <v>92.097999999999999</v>
      </c>
      <c r="F170" s="315">
        <v>313.99972413793103</v>
      </c>
      <c r="G170" s="22">
        <f t="shared" si="4"/>
        <v>221.90172413793101</v>
      </c>
      <c r="H170" s="22">
        <f>IFERROR(IF(Yearending&gt;B169,'5. Historical demand'!F170-'5. Historical demand'!C170-'5. Historical demand'!D170,""),"")</f>
        <v>171.43075999999996</v>
      </c>
      <c r="I170" s="22">
        <f t="shared" si="5"/>
        <v>50.470964137931034</v>
      </c>
    </row>
    <row r="171" spans="2:9" x14ac:dyDescent="0.2">
      <c r="B171" s="192">
        <f t="shared" si="3"/>
        <v>45602</v>
      </c>
      <c r="C171" s="315">
        <v>79.517240000000001</v>
      </c>
      <c r="D171" s="315">
        <v>63.051724137931032</v>
      </c>
      <c r="E171" s="315">
        <v>85.908034482758637</v>
      </c>
      <c r="F171" s="315">
        <v>313.99972413793103</v>
      </c>
      <c r="G171" s="22">
        <f t="shared" si="4"/>
        <v>228.09168965517239</v>
      </c>
      <c r="H171" s="22">
        <f>IFERROR(IF(Yearending&gt;B170,'5. Historical demand'!F171-'5. Historical demand'!C171-'5. Historical demand'!D171,""),"")</f>
        <v>171.43075999999996</v>
      </c>
      <c r="I171" s="22">
        <f t="shared" si="5"/>
        <v>56.660929655172396</v>
      </c>
    </row>
    <row r="172" spans="2:9" x14ac:dyDescent="0.2">
      <c r="B172" s="192">
        <f t="shared" ref="B172:B235" si="6">IFERROR(IF(Yearending&gt;B171, B171+1, ""),"")</f>
        <v>45603</v>
      </c>
      <c r="C172" s="315">
        <v>79.517240000000001</v>
      </c>
      <c r="D172" s="315">
        <v>63.051724137931032</v>
      </c>
      <c r="E172" s="315">
        <v>79.074448275862068</v>
      </c>
      <c r="F172" s="315">
        <v>313.99972413793103</v>
      </c>
      <c r="G172" s="22">
        <f t="shared" ref="G172:G235" si="7">IFERROR(IF(Yearending&gt;B171,F172-E172,""),"")</f>
        <v>234.92527586206896</v>
      </c>
      <c r="H172" s="22">
        <f>IFERROR(IF(Yearending&gt;B171,'5. Historical demand'!F172-'5. Historical demand'!C172-'5. Historical demand'!D172,""),"")</f>
        <v>171.43075999999996</v>
      </c>
      <c r="I172" s="22">
        <f t="shared" ref="I172:I235" si="8">IFERROR(IF(Yearending&gt;B171,C172+D172-E172,""),"")</f>
        <v>63.494515862068965</v>
      </c>
    </row>
    <row r="173" spans="2:9" x14ac:dyDescent="0.2">
      <c r="B173" s="192">
        <f t="shared" si="6"/>
        <v>45604</v>
      </c>
      <c r="C173" s="315">
        <v>79.517240000000001</v>
      </c>
      <c r="D173" s="315">
        <v>63.051724137931032</v>
      </c>
      <c r="E173" s="315">
        <v>83.652655172413802</v>
      </c>
      <c r="F173" s="315">
        <v>313.99972413793103</v>
      </c>
      <c r="G173" s="22">
        <f t="shared" si="7"/>
        <v>230.34706896551722</v>
      </c>
      <c r="H173" s="22">
        <f>IFERROR(IF(Yearending&gt;B172,'5. Historical demand'!F173-'5. Historical demand'!C173-'5. Historical demand'!D173,""),"")</f>
        <v>171.43075999999996</v>
      </c>
      <c r="I173" s="22">
        <f t="shared" si="8"/>
        <v>58.916308965517231</v>
      </c>
    </row>
    <row r="174" spans="2:9" x14ac:dyDescent="0.2">
      <c r="B174" s="192">
        <f t="shared" si="6"/>
        <v>45605</v>
      </c>
      <c r="C174" s="315">
        <v>79.517240000000001</v>
      </c>
      <c r="D174" s="315">
        <v>63.051724137931032</v>
      </c>
      <c r="E174" s="315">
        <v>86.10955172413793</v>
      </c>
      <c r="F174" s="315">
        <v>313.99972413793103</v>
      </c>
      <c r="G174" s="22">
        <f t="shared" si="7"/>
        <v>227.8901724137931</v>
      </c>
      <c r="H174" s="22">
        <f>IFERROR(IF(Yearending&gt;B173,'5. Historical demand'!F174-'5. Historical demand'!C174-'5. Historical demand'!D174,""),"")</f>
        <v>171.43075999999996</v>
      </c>
      <c r="I174" s="22">
        <f t="shared" si="8"/>
        <v>56.459412413793103</v>
      </c>
    </row>
    <row r="175" spans="2:9" x14ac:dyDescent="0.2">
      <c r="B175" s="192">
        <f t="shared" si="6"/>
        <v>45606</v>
      </c>
      <c r="C175" s="315">
        <v>79.517240000000001</v>
      </c>
      <c r="D175" s="315">
        <v>63.051724137931032</v>
      </c>
      <c r="E175" s="315">
        <v>69.508379310344822</v>
      </c>
      <c r="F175" s="315">
        <v>313.99972413793103</v>
      </c>
      <c r="G175" s="22">
        <f t="shared" si="7"/>
        <v>244.4913448275862</v>
      </c>
      <c r="H175" s="22">
        <f>IFERROR(IF(Yearending&gt;B174,'5. Historical demand'!F175-'5. Historical demand'!C175-'5. Historical demand'!D175,""),"")</f>
        <v>171.43075999999996</v>
      </c>
      <c r="I175" s="22">
        <f t="shared" si="8"/>
        <v>73.060584827586212</v>
      </c>
    </row>
    <row r="176" spans="2:9" x14ac:dyDescent="0.2">
      <c r="B176" s="192">
        <f t="shared" si="6"/>
        <v>45607</v>
      </c>
      <c r="C176" s="315">
        <v>79.517240000000001</v>
      </c>
      <c r="D176" s="315">
        <v>63.051724137931032</v>
      </c>
      <c r="E176" s="315">
        <v>89.971724137931034</v>
      </c>
      <c r="F176" s="315">
        <v>313.99972413793103</v>
      </c>
      <c r="G176" s="22">
        <f t="shared" si="7"/>
        <v>224.02799999999999</v>
      </c>
      <c r="H176" s="22">
        <f>IFERROR(IF(Yearending&gt;B175,'5. Historical demand'!F176-'5. Historical demand'!C176-'5. Historical demand'!D176,""),"")</f>
        <v>171.43075999999996</v>
      </c>
      <c r="I176" s="22">
        <f t="shared" si="8"/>
        <v>52.597239999999999</v>
      </c>
    </row>
    <row r="177" spans="2:9" x14ac:dyDescent="0.2">
      <c r="B177" s="192">
        <f t="shared" si="6"/>
        <v>45608</v>
      </c>
      <c r="C177" s="315">
        <v>79.517240000000001</v>
      </c>
      <c r="D177" s="315">
        <v>63.051724137931032</v>
      </c>
      <c r="E177" s="315">
        <v>83.891241379310344</v>
      </c>
      <c r="F177" s="315">
        <v>313.99972413793103</v>
      </c>
      <c r="G177" s="22">
        <f t="shared" si="7"/>
        <v>230.10848275862068</v>
      </c>
      <c r="H177" s="22">
        <f>IFERROR(IF(Yearending&gt;B176,'5. Historical demand'!F177-'5. Historical demand'!C177-'5. Historical demand'!D177,""),"")</f>
        <v>171.43075999999996</v>
      </c>
      <c r="I177" s="22">
        <f t="shared" si="8"/>
        <v>58.677722758620689</v>
      </c>
    </row>
    <row r="178" spans="2:9" x14ac:dyDescent="0.2">
      <c r="B178" s="192">
        <f t="shared" si="6"/>
        <v>45609</v>
      </c>
      <c r="C178" s="315">
        <v>79.517240000000001</v>
      </c>
      <c r="D178" s="315">
        <v>63.051724137931032</v>
      </c>
      <c r="E178" s="315">
        <v>75.754655172413791</v>
      </c>
      <c r="F178" s="315">
        <v>313.99972413793103</v>
      </c>
      <c r="G178" s="22">
        <f t="shared" si="7"/>
        <v>238.24506896551725</v>
      </c>
      <c r="H178" s="22">
        <f>IFERROR(IF(Yearending&gt;B177,'5. Historical demand'!F178-'5. Historical demand'!C178-'5. Historical demand'!D178,""),"")</f>
        <v>171.43075999999996</v>
      </c>
      <c r="I178" s="22">
        <f t="shared" si="8"/>
        <v>66.814308965517242</v>
      </c>
    </row>
    <row r="179" spans="2:9" x14ac:dyDescent="0.2">
      <c r="B179" s="192">
        <f t="shared" si="6"/>
        <v>45610</v>
      </c>
      <c r="C179" s="315">
        <v>79.517240000000001</v>
      </c>
      <c r="D179" s="315">
        <v>63.051724137931032</v>
      </c>
      <c r="E179" s="315">
        <v>66.628482758620692</v>
      </c>
      <c r="F179" s="315">
        <v>313.99972413793103</v>
      </c>
      <c r="G179" s="22">
        <f t="shared" si="7"/>
        <v>247.37124137931033</v>
      </c>
      <c r="H179" s="22">
        <f>IFERROR(IF(Yearending&gt;B178,'5. Historical demand'!F179-'5. Historical demand'!C179-'5. Historical demand'!D179,""),"")</f>
        <v>171.43075999999996</v>
      </c>
      <c r="I179" s="22">
        <f t="shared" si="8"/>
        <v>75.940481379310341</v>
      </c>
    </row>
    <row r="180" spans="2:9" x14ac:dyDescent="0.2">
      <c r="B180" s="192">
        <f t="shared" si="6"/>
        <v>45611</v>
      </c>
      <c r="C180" s="315">
        <v>79.517240000000001</v>
      </c>
      <c r="D180" s="315">
        <v>63.051724137931032</v>
      </c>
      <c r="E180" s="315">
        <v>67.983551724137925</v>
      </c>
      <c r="F180" s="315">
        <v>313.99972413793103</v>
      </c>
      <c r="G180" s="22">
        <f t="shared" si="7"/>
        <v>246.0161724137931</v>
      </c>
      <c r="H180" s="22">
        <f>IFERROR(IF(Yearending&gt;B179,'5. Historical demand'!F180-'5. Historical demand'!C180-'5. Historical demand'!D180,""),"")</f>
        <v>171.43075999999996</v>
      </c>
      <c r="I180" s="22">
        <f t="shared" si="8"/>
        <v>74.585412413793108</v>
      </c>
    </row>
    <row r="181" spans="2:9" x14ac:dyDescent="0.2">
      <c r="B181" s="192">
        <f t="shared" si="6"/>
        <v>45612</v>
      </c>
      <c r="C181" s="315">
        <v>79.517240000000001</v>
      </c>
      <c r="D181" s="315">
        <v>63.051724137931032</v>
      </c>
      <c r="E181" s="315">
        <v>73.595586206896556</v>
      </c>
      <c r="F181" s="315">
        <v>313.99972413793103</v>
      </c>
      <c r="G181" s="22">
        <f t="shared" si="7"/>
        <v>240.40413793103448</v>
      </c>
      <c r="H181" s="22">
        <f>IFERROR(IF(Yearending&gt;B180,'5. Historical demand'!F181-'5. Historical demand'!C181-'5. Historical demand'!D181,""),"")</f>
        <v>171.43075999999996</v>
      </c>
      <c r="I181" s="22">
        <f t="shared" si="8"/>
        <v>68.973377931034477</v>
      </c>
    </row>
    <row r="182" spans="2:9" x14ac:dyDescent="0.2">
      <c r="B182" s="192">
        <f t="shared" si="6"/>
        <v>45613</v>
      </c>
      <c r="C182" s="315">
        <v>79.517240000000001</v>
      </c>
      <c r="D182" s="315">
        <v>63.051724137931032</v>
      </c>
      <c r="E182" s="315">
        <v>75.618896551724134</v>
      </c>
      <c r="F182" s="315">
        <v>313.99972413793103</v>
      </c>
      <c r="G182" s="22">
        <f t="shared" si="7"/>
        <v>238.38082758620689</v>
      </c>
      <c r="H182" s="22">
        <f>IFERROR(IF(Yearending&gt;B181,'5. Historical demand'!F182-'5. Historical demand'!C182-'5. Historical demand'!D182,""),"")</f>
        <v>171.43075999999996</v>
      </c>
      <c r="I182" s="22">
        <f t="shared" si="8"/>
        <v>66.950067586206899</v>
      </c>
    </row>
    <row r="183" spans="2:9" x14ac:dyDescent="0.2">
      <c r="B183" s="192">
        <f t="shared" si="6"/>
        <v>45614</v>
      </c>
      <c r="C183" s="315">
        <v>79.517240000000001</v>
      </c>
      <c r="D183" s="315">
        <v>63.051724137931032</v>
      </c>
      <c r="E183" s="315">
        <v>73.209896551724128</v>
      </c>
      <c r="F183" s="315">
        <v>313.99972413793103</v>
      </c>
      <c r="G183" s="22">
        <f t="shared" si="7"/>
        <v>240.78982758620691</v>
      </c>
      <c r="H183" s="22">
        <f>IFERROR(IF(Yearending&gt;B182,'5. Historical demand'!F183-'5. Historical demand'!C183-'5. Historical demand'!D183,""),"")</f>
        <v>171.43075999999996</v>
      </c>
      <c r="I183" s="22">
        <f t="shared" si="8"/>
        <v>69.359067586206905</v>
      </c>
    </row>
    <row r="184" spans="2:9" x14ac:dyDescent="0.2">
      <c r="B184" s="192">
        <f t="shared" si="6"/>
        <v>45615</v>
      </c>
      <c r="C184" s="315">
        <v>79.517240000000001</v>
      </c>
      <c r="D184" s="315">
        <v>63.051724137931032</v>
      </c>
      <c r="E184" s="315">
        <v>82.346448275862059</v>
      </c>
      <c r="F184" s="315">
        <v>313.99972413793103</v>
      </c>
      <c r="G184" s="22">
        <f t="shared" si="7"/>
        <v>231.65327586206897</v>
      </c>
      <c r="H184" s="22">
        <f>IFERROR(IF(Yearending&gt;B183,'5. Historical demand'!F184-'5. Historical demand'!C184-'5. Historical demand'!D184,""),"")</f>
        <v>171.43075999999996</v>
      </c>
      <c r="I184" s="22">
        <f t="shared" si="8"/>
        <v>60.222515862068974</v>
      </c>
    </row>
    <row r="185" spans="2:9" x14ac:dyDescent="0.2">
      <c r="B185" s="192">
        <f t="shared" si="6"/>
        <v>45616</v>
      </c>
      <c r="C185" s="315">
        <v>79.517240000000001</v>
      </c>
      <c r="D185" s="315">
        <v>63.051724137931032</v>
      </c>
      <c r="E185" s="315">
        <v>72.450551724137938</v>
      </c>
      <c r="F185" s="315">
        <v>313.99972413793103</v>
      </c>
      <c r="G185" s="22">
        <f t="shared" si="7"/>
        <v>241.54917241379309</v>
      </c>
      <c r="H185" s="22">
        <f>IFERROR(IF(Yearending&gt;B184,'5. Historical demand'!F185-'5. Historical demand'!C185-'5. Historical demand'!D185,""),"")</f>
        <v>171.43075999999996</v>
      </c>
      <c r="I185" s="22">
        <f t="shared" si="8"/>
        <v>70.118412413793095</v>
      </c>
    </row>
    <row r="186" spans="2:9" x14ac:dyDescent="0.2">
      <c r="B186" s="192">
        <f t="shared" si="6"/>
        <v>45617</v>
      </c>
      <c r="C186" s="315">
        <v>79.517240000000001</v>
      </c>
      <c r="D186" s="315">
        <v>63.051724137931032</v>
      </c>
      <c r="E186" s="315">
        <v>82.628172413793109</v>
      </c>
      <c r="F186" s="315">
        <v>313.99972413793103</v>
      </c>
      <c r="G186" s="22">
        <f t="shared" si="7"/>
        <v>231.37155172413793</v>
      </c>
      <c r="H186" s="22">
        <f>IFERROR(IF(Yearending&gt;B185,'5. Historical demand'!F186-'5. Historical demand'!C186-'5. Historical demand'!D186,""),"")</f>
        <v>171.43075999999996</v>
      </c>
      <c r="I186" s="22">
        <f t="shared" si="8"/>
        <v>59.940791724137924</v>
      </c>
    </row>
    <row r="187" spans="2:9" x14ac:dyDescent="0.2">
      <c r="B187" s="192">
        <f t="shared" si="6"/>
        <v>45618</v>
      </c>
      <c r="C187" s="315">
        <v>79.517240000000001</v>
      </c>
      <c r="D187" s="315">
        <v>63.051724137931032</v>
      </c>
      <c r="E187" s="315">
        <v>96.092448275862068</v>
      </c>
      <c r="F187" s="315">
        <v>313.99972413793103</v>
      </c>
      <c r="G187" s="22">
        <f t="shared" si="7"/>
        <v>217.90727586206896</v>
      </c>
      <c r="H187" s="22">
        <f>IFERROR(IF(Yearending&gt;B186,'5. Historical demand'!F187-'5. Historical demand'!C187-'5. Historical demand'!D187,""),"")</f>
        <v>171.43075999999996</v>
      </c>
      <c r="I187" s="22">
        <f t="shared" si="8"/>
        <v>46.476515862068965</v>
      </c>
    </row>
    <row r="188" spans="2:9" x14ac:dyDescent="0.2">
      <c r="B188" s="192">
        <f t="shared" si="6"/>
        <v>45619</v>
      </c>
      <c r="C188" s="315">
        <v>79.517240000000001</v>
      </c>
      <c r="D188" s="315">
        <v>63.051724137931032</v>
      </c>
      <c r="E188" s="315">
        <v>94.29224137931034</v>
      </c>
      <c r="F188" s="315">
        <v>313.99972413793103</v>
      </c>
      <c r="G188" s="22">
        <f t="shared" si="7"/>
        <v>219.7074827586207</v>
      </c>
      <c r="H188" s="22">
        <f>IFERROR(IF(Yearending&gt;B187,'5. Historical demand'!F188-'5. Historical demand'!C188-'5. Historical demand'!D188,""),"")</f>
        <v>171.43075999999996</v>
      </c>
      <c r="I188" s="22">
        <f t="shared" si="8"/>
        <v>48.276722758620693</v>
      </c>
    </row>
    <row r="189" spans="2:9" x14ac:dyDescent="0.2">
      <c r="B189" s="192">
        <f t="shared" si="6"/>
        <v>45620</v>
      </c>
      <c r="C189" s="315">
        <v>79.517240000000001</v>
      </c>
      <c r="D189" s="315">
        <v>63.051724137931032</v>
      </c>
      <c r="E189" s="315">
        <v>103.70589655172414</v>
      </c>
      <c r="F189" s="315">
        <v>313.99972413793103</v>
      </c>
      <c r="G189" s="22">
        <f t="shared" si="7"/>
        <v>210.29382758620687</v>
      </c>
      <c r="H189" s="22">
        <f>IFERROR(IF(Yearending&gt;B188,'5. Historical demand'!F189-'5. Historical demand'!C189-'5. Historical demand'!D189,""),"")</f>
        <v>171.43075999999996</v>
      </c>
      <c r="I189" s="22">
        <f t="shared" si="8"/>
        <v>38.863067586206895</v>
      </c>
    </row>
    <row r="190" spans="2:9" x14ac:dyDescent="0.2">
      <c r="B190" s="192">
        <f t="shared" si="6"/>
        <v>45621</v>
      </c>
      <c r="C190" s="315">
        <v>79.517240000000001</v>
      </c>
      <c r="D190" s="315">
        <v>63.051724137931032</v>
      </c>
      <c r="E190" s="315">
        <v>122.15979310344827</v>
      </c>
      <c r="F190" s="315">
        <v>313.99972413793103</v>
      </c>
      <c r="G190" s="22">
        <f t="shared" si="7"/>
        <v>191.83993103448276</v>
      </c>
      <c r="H190" s="22">
        <f>IFERROR(IF(Yearending&gt;B189,'5. Historical demand'!F190-'5. Historical demand'!C190-'5. Historical demand'!D190,""),"")</f>
        <v>171.43075999999996</v>
      </c>
      <c r="I190" s="22">
        <f t="shared" si="8"/>
        <v>20.409171034482767</v>
      </c>
    </row>
    <row r="191" spans="2:9" x14ac:dyDescent="0.2">
      <c r="B191" s="192">
        <f t="shared" si="6"/>
        <v>45622</v>
      </c>
      <c r="C191" s="315">
        <v>79.517240000000001</v>
      </c>
      <c r="D191" s="315">
        <v>63.051724137931032</v>
      </c>
      <c r="E191" s="315">
        <v>131.16079310344827</v>
      </c>
      <c r="F191" s="315">
        <v>313.99972413793103</v>
      </c>
      <c r="G191" s="22">
        <f t="shared" si="7"/>
        <v>182.83893103448275</v>
      </c>
      <c r="H191" s="22">
        <f>IFERROR(IF(Yearending&gt;B190,'5. Historical demand'!F191-'5. Historical demand'!C191-'5. Historical demand'!D191,""),"")</f>
        <v>171.43075999999996</v>
      </c>
      <c r="I191" s="22">
        <f t="shared" si="8"/>
        <v>11.408171034482763</v>
      </c>
    </row>
    <row r="192" spans="2:9" x14ac:dyDescent="0.2">
      <c r="B192" s="192">
        <f t="shared" si="6"/>
        <v>45623</v>
      </c>
      <c r="C192" s="315">
        <v>79.517240000000001</v>
      </c>
      <c r="D192" s="315">
        <v>63.051724137931032</v>
      </c>
      <c r="E192" s="315">
        <v>91.17024137931034</v>
      </c>
      <c r="F192" s="315">
        <v>313.99972413793103</v>
      </c>
      <c r="G192" s="22">
        <f t="shared" si="7"/>
        <v>222.82948275862068</v>
      </c>
      <c r="H192" s="22">
        <f>IFERROR(IF(Yearending&gt;B191,'5. Historical demand'!F192-'5. Historical demand'!C192-'5. Historical demand'!D192,""),"")</f>
        <v>171.43075999999996</v>
      </c>
      <c r="I192" s="22">
        <f t="shared" si="8"/>
        <v>51.398722758620693</v>
      </c>
    </row>
    <row r="193" spans="2:9" x14ac:dyDescent="0.2">
      <c r="B193" s="192">
        <f t="shared" si="6"/>
        <v>45624</v>
      </c>
      <c r="C193" s="315">
        <v>79.517240000000001</v>
      </c>
      <c r="D193" s="315">
        <v>63.051724137931032</v>
      </c>
      <c r="E193" s="315">
        <v>84.072172413793112</v>
      </c>
      <c r="F193" s="315">
        <v>313.99972413793103</v>
      </c>
      <c r="G193" s="22">
        <f t="shared" si="7"/>
        <v>229.92755172413791</v>
      </c>
      <c r="H193" s="22">
        <f>IFERROR(IF(Yearending&gt;B192,'5. Historical demand'!F193-'5. Historical demand'!C193-'5. Historical demand'!D193,""),"")</f>
        <v>171.43075999999996</v>
      </c>
      <c r="I193" s="22">
        <f t="shared" si="8"/>
        <v>58.496791724137921</v>
      </c>
    </row>
    <row r="194" spans="2:9" x14ac:dyDescent="0.2">
      <c r="B194" s="192">
        <f t="shared" si="6"/>
        <v>45625</v>
      </c>
      <c r="C194" s="315">
        <v>79.517240000000001</v>
      </c>
      <c r="D194" s="315">
        <v>63.051724137931032</v>
      </c>
      <c r="E194" s="315">
        <v>77.009758620689652</v>
      </c>
      <c r="F194" s="315">
        <v>313.99972413793103</v>
      </c>
      <c r="G194" s="22">
        <f t="shared" si="7"/>
        <v>236.98996551724139</v>
      </c>
      <c r="H194" s="22">
        <f>IFERROR(IF(Yearending&gt;B193,'5. Historical demand'!F194-'5. Historical demand'!C194-'5. Historical demand'!D194,""),"")</f>
        <v>171.43075999999996</v>
      </c>
      <c r="I194" s="22">
        <f t="shared" si="8"/>
        <v>65.559205517241381</v>
      </c>
    </row>
    <row r="195" spans="2:9" x14ac:dyDescent="0.2">
      <c r="B195" s="192">
        <f t="shared" si="6"/>
        <v>45626</v>
      </c>
      <c r="C195" s="315">
        <v>79.517240000000001</v>
      </c>
      <c r="D195" s="315">
        <v>63.051724137931032</v>
      </c>
      <c r="E195" s="315">
        <v>78.188931034482763</v>
      </c>
      <c r="F195" s="315">
        <v>313.99972413793103</v>
      </c>
      <c r="G195" s="22">
        <f t="shared" si="7"/>
        <v>235.81079310344825</v>
      </c>
      <c r="H195" s="22">
        <f>IFERROR(IF(Yearending&gt;B194,'5. Historical demand'!F195-'5. Historical demand'!C195-'5. Historical demand'!D195,""),"")</f>
        <v>171.43075999999996</v>
      </c>
      <c r="I195" s="22">
        <f t="shared" si="8"/>
        <v>64.38003310344827</v>
      </c>
    </row>
    <row r="196" spans="2:9" x14ac:dyDescent="0.2">
      <c r="B196" s="192">
        <f t="shared" si="6"/>
        <v>45627</v>
      </c>
      <c r="C196" s="315">
        <v>79.517240000000001</v>
      </c>
      <c r="D196" s="315">
        <v>63.051724137931032</v>
      </c>
      <c r="E196" s="315">
        <v>92.849172413793099</v>
      </c>
      <c r="F196" s="315">
        <v>313.99972413793103</v>
      </c>
      <c r="G196" s="22">
        <f t="shared" si="7"/>
        <v>221.15055172413793</v>
      </c>
      <c r="H196" s="22">
        <f>IFERROR(IF(Yearending&gt;B195,'5. Historical demand'!F196-'5. Historical demand'!C196-'5. Historical demand'!D196,""),"")</f>
        <v>171.43075999999996</v>
      </c>
      <c r="I196" s="22">
        <f t="shared" si="8"/>
        <v>49.719791724137934</v>
      </c>
    </row>
    <row r="197" spans="2:9" x14ac:dyDescent="0.2">
      <c r="B197" s="192">
        <f t="shared" si="6"/>
        <v>45628</v>
      </c>
      <c r="C197" s="315">
        <v>79.517240000000001</v>
      </c>
      <c r="D197" s="315">
        <v>63.051724137931032</v>
      </c>
      <c r="E197" s="315">
        <v>97.338482758620685</v>
      </c>
      <c r="F197" s="315">
        <v>313.99972413793103</v>
      </c>
      <c r="G197" s="22">
        <f t="shared" si="7"/>
        <v>216.66124137931035</v>
      </c>
      <c r="H197" s="22">
        <f>IFERROR(IF(Yearending&gt;B196,'5. Historical demand'!F197-'5. Historical demand'!C197-'5. Historical demand'!D197,""),"")</f>
        <v>171.43075999999996</v>
      </c>
      <c r="I197" s="22">
        <f t="shared" si="8"/>
        <v>45.230481379310348</v>
      </c>
    </row>
    <row r="198" spans="2:9" x14ac:dyDescent="0.2">
      <c r="B198" s="192">
        <f t="shared" si="6"/>
        <v>45629</v>
      </c>
      <c r="C198" s="315">
        <v>79.517240000000001</v>
      </c>
      <c r="D198" s="315">
        <v>63.051724137931032</v>
      </c>
      <c r="E198" s="315">
        <v>88.930517241379306</v>
      </c>
      <c r="F198" s="315">
        <v>313.99972413793103</v>
      </c>
      <c r="G198" s="22">
        <f t="shared" si="7"/>
        <v>225.06920689655172</v>
      </c>
      <c r="H198" s="22">
        <f>IFERROR(IF(Yearending&gt;B197,'5. Historical demand'!F198-'5. Historical demand'!C198-'5. Historical demand'!D198,""),"")</f>
        <v>171.43075999999996</v>
      </c>
      <c r="I198" s="22">
        <f t="shared" si="8"/>
        <v>53.638446896551727</v>
      </c>
    </row>
    <row r="199" spans="2:9" x14ac:dyDescent="0.2">
      <c r="B199" s="192">
        <f t="shared" si="6"/>
        <v>45630</v>
      </c>
      <c r="C199" s="315">
        <v>79.517240000000001</v>
      </c>
      <c r="D199" s="315">
        <v>63.051724137931032</v>
      </c>
      <c r="E199" s="315">
        <v>81.967275862068959</v>
      </c>
      <c r="F199" s="315">
        <v>313.99972413793103</v>
      </c>
      <c r="G199" s="22">
        <f t="shared" si="7"/>
        <v>232.03244827586207</v>
      </c>
      <c r="H199" s="22">
        <f>IFERROR(IF(Yearending&gt;B198,'5. Historical demand'!F199-'5. Historical demand'!C199-'5. Historical demand'!D199,""),"")</f>
        <v>171.43075999999996</v>
      </c>
      <c r="I199" s="22">
        <f t="shared" si="8"/>
        <v>60.601688275862074</v>
      </c>
    </row>
    <row r="200" spans="2:9" x14ac:dyDescent="0.2">
      <c r="B200" s="192">
        <f t="shared" si="6"/>
        <v>45631</v>
      </c>
      <c r="C200" s="315">
        <v>79.517240000000001</v>
      </c>
      <c r="D200" s="315">
        <v>63.051724137931032</v>
      </c>
      <c r="E200" s="315">
        <v>102.24717241379309</v>
      </c>
      <c r="F200" s="315">
        <v>313.99972413793103</v>
      </c>
      <c r="G200" s="22">
        <f t="shared" si="7"/>
        <v>211.75255172413793</v>
      </c>
      <c r="H200" s="22">
        <f>IFERROR(IF(Yearending&gt;B199,'5. Historical demand'!F200-'5. Historical demand'!C200-'5. Historical demand'!D200,""),"")</f>
        <v>171.43075999999996</v>
      </c>
      <c r="I200" s="22">
        <f t="shared" si="8"/>
        <v>40.321791724137938</v>
      </c>
    </row>
    <row r="201" spans="2:9" x14ac:dyDescent="0.2">
      <c r="B201" s="192">
        <f t="shared" si="6"/>
        <v>45632</v>
      </c>
      <c r="C201" s="315">
        <v>79.517240000000001</v>
      </c>
      <c r="D201" s="315">
        <v>63.051724137931032</v>
      </c>
      <c r="E201" s="315">
        <v>94.766034482758627</v>
      </c>
      <c r="F201" s="315">
        <v>313.99972413793103</v>
      </c>
      <c r="G201" s="22">
        <f t="shared" si="7"/>
        <v>219.23368965517238</v>
      </c>
      <c r="H201" s="22">
        <f>IFERROR(IF(Yearending&gt;B200,'5. Historical demand'!F201-'5. Historical demand'!C201-'5. Historical demand'!D201,""),"")</f>
        <v>171.43075999999996</v>
      </c>
      <c r="I201" s="22">
        <f t="shared" si="8"/>
        <v>47.802929655172406</v>
      </c>
    </row>
    <row r="202" spans="2:9" x14ac:dyDescent="0.2">
      <c r="B202" s="192">
        <f t="shared" si="6"/>
        <v>45633</v>
      </c>
      <c r="C202" s="315">
        <v>79.517240000000001</v>
      </c>
      <c r="D202" s="315">
        <v>63.051724137931032</v>
      </c>
      <c r="E202" s="315">
        <v>66.0226896551724</v>
      </c>
      <c r="F202" s="315">
        <v>313.99972413793103</v>
      </c>
      <c r="G202" s="22">
        <f t="shared" si="7"/>
        <v>247.97703448275863</v>
      </c>
      <c r="H202" s="22">
        <f>IFERROR(IF(Yearending&gt;B201,'5. Historical demand'!F202-'5. Historical demand'!C202-'5. Historical demand'!D202,""),"")</f>
        <v>171.43075999999996</v>
      </c>
      <c r="I202" s="22">
        <f t="shared" si="8"/>
        <v>76.546274482758633</v>
      </c>
    </row>
    <row r="203" spans="2:9" x14ac:dyDescent="0.2">
      <c r="B203" s="192">
        <f t="shared" si="6"/>
        <v>45634</v>
      </c>
      <c r="C203" s="315">
        <v>79.517240000000001</v>
      </c>
      <c r="D203" s="315">
        <v>63.051724137931032</v>
      </c>
      <c r="E203" s="315">
        <v>48.769862068965523</v>
      </c>
      <c r="F203" s="315">
        <v>313.99972413793103</v>
      </c>
      <c r="G203" s="22">
        <f t="shared" si="7"/>
        <v>265.22986206896553</v>
      </c>
      <c r="H203" s="22">
        <f>IFERROR(IF(Yearending&gt;B202,'5. Historical demand'!F203-'5. Historical demand'!C203-'5. Historical demand'!D203,""),"")</f>
        <v>171.43075999999996</v>
      </c>
      <c r="I203" s="22">
        <f t="shared" si="8"/>
        <v>93.79910206896551</v>
      </c>
    </row>
    <row r="204" spans="2:9" x14ac:dyDescent="0.2">
      <c r="B204" s="192">
        <f t="shared" si="6"/>
        <v>45635</v>
      </c>
      <c r="C204" s="315">
        <v>79.517240000000001</v>
      </c>
      <c r="D204" s="315">
        <v>63.051724137931032</v>
      </c>
      <c r="E204" s="315">
        <v>67.525310344827588</v>
      </c>
      <c r="F204" s="315">
        <v>313.99972413793103</v>
      </c>
      <c r="G204" s="22">
        <f t="shared" si="7"/>
        <v>246.47441379310345</v>
      </c>
      <c r="H204" s="22">
        <f>IFERROR(IF(Yearending&gt;B203,'5. Historical demand'!F204-'5. Historical demand'!C204-'5. Historical demand'!D204,""),"")</f>
        <v>171.43075999999996</v>
      </c>
      <c r="I204" s="22">
        <f t="shared" si="8"/>
        <v>75.043653793103445</v>
      </c>
    </row>
    <row r="205" spans="2:9" x14ac:dyDescent="0.2">
      <c r="B205" s="192">
        <f t="shared" si="6"/>
        <v>45636</v>
      </c>
      <c r="C205" s="315">
        <v>79.517240000000001</v>
      </c>
      <c r="D205" s="315">
        <v>63.051724137931032</v>
      </c>
      <c r="E205" s="315">
        <v>86.223275862068959</v>
      </c>
      <c r="F205" s="315">
        <v>313.99972413793103</v>
      </c>
      <c r="G205" s="22">
        <f t="shared" si="7"/>
        <v>227.77644827586207</v>
      </c>
      <c r="H205" s="22">
        <f>IFERROR(IF(Yearending&gt;B204,'5. Historical demand'!F205-'5. Historical demand'!C205-'5. Historical demand'!D205,""),"")</f>
        <v>171.43075999999996</v>
      </c>
      <c r="I205" s="22">
        <f t="shared" si="8"/>
        <v>56.345688275862074</v>
      </c>
    </row>
    <row r="206" spans="2:9" x14ac:dyDescent="0.2">
      <c r="B206" s="192">
        <f t="shared" si="6"/>
        <v>45637</v>
      </c>
      <c r="C206" s="315">
        <v>79.517240000000001</v>
      </c>
      <c r="D206" s="315">
        <v>63.051724137931032</v>
      </c>
      <c r="E206" s="315">
        <v>79.118000000000009</v>
      </c>
      <c r="F206" s="315">
        <v>313.99972413793103</v>
      </c>
      <c r="G206" s="22">
        <f t="shared" si="7"/>
        <v>234.88172413793103</v>
      </c>
      <c r="H206" s="22">
        <f>IFERROR(IF(Yearending&gt;B205,'5. Historical demand'!F206-'5. Historical demand'!C206-'5. Historical demand'!D206,""),"")</f>
        <v>171.43075999999996</v>
      </c>
      <c r="I206" s="22">
        <f t="shared" si="8"/>
        <v>63.450964137931024</v>
      </c>
    </row>
    <row r="207" spans="2:9" x14ac:dyDescent="0.2">
      <c r="B207" s="192">
        <f t="shared" si="6"/>
        <v>45638</v>
      </c>
      <c r="C207" s="315">
        <v>79.517240000000001</v>
      </c>
      <c r="D207" s="315">
        <v>63.051724137931032</v>
      </c>
      <c r="E207" s="315">
        <v>96.202206896551715</v>
      </c>
      <c r="F207" s="315">
        <v>313.99972413793103</v>
      </c>
      <c r="G207" s="22">
        <f t="shared" si="7"/>
        <v>217.7975172413793</v>
      </c>
      <c r="H207" s="22">
        <f>IFERROR(IF(Yearending&gt;B206,'5. Historical demand'!F207-'5. Historical demand'!C207-'5. Historical demand'!D207,""),"")</f>
        <v>171.43075999999996</v>
      </c>
      <c r="I207" s="22">
        <f t="shared" si="8"/>
        <v>46.366757241379318</v>
      </c>
    </row>
    <row r="208" spans="2:9" x14ac:dyDescent="0.2">
      <c r="B208" s="192">
        <f t="shared" si="6"/>
        <v>45639</v>
      </c>
      <c r="C208" s="315">
        <v>79.517240000000001</v>
      </c>
      <c r="D208" s="315">
        <v>63.051724137931032</v>
      </c>
      <c r="E208" s="315">
        <v>96.357965517241368</v>
      </c>
      <c r="F208" s="315">
        <v>313.99972413793103</v>
      </c>
      <c r="G208" s="22">
        <f t="shared" si="7"/>
        <v>217.64175862068964</v>
      </c>
      <c r="H208" s="22">
        <f>IFERROR(IF(Yearending&gt;B207,'5. Historical demand'!F208-'5. Historical demand'!C208-'5. Historical demand'!D208,""),"")</f>
        <v>171.43075999999996</v>
      </c>
      <c r="I208" s="22">
        <f t="shared" si="8"/>
        <v>46.210998620689665</v>
      </c>
    </row>
    <row r="209" spans="2:9" x14ac:dyDescent="0.2">
      <c r="B209" s="192">
        <f t="shared" si="6"/>
        <v>45640</v>
      </c>
      <c r="C209" s="315">
        <v>79.517240000000001</v>
      </c>
      <c r="D209" s="315">
        <v>63.051724137931032</v>
      </c>
      <c r="E209" s="315">
        <v>93.764103448275861</v>
      </c>
      <c r="F209" s="315">
        <v>313.99972413793103</v>
      </c>
      <c r="G209" s="22">
        <f t="shared" si="7"/>
        <v>220.23562068965515</v>
      </c>
      <c r="H209" s="22">
        <f>IFERROR(IF(Yearending&gt;B208,'5. Historical demand'!F209-'5. Historical demand'!C209-'5. Historical demand'!D209,""),"")</f>
        <v>171.43075999999996</v>
      </c>
      <c r="I209" s="22">
        <f t="shared" si="8"/>
        <v>48.804860689655172</v>
      </c>
    </row>
    <row r="210" spans="2:9" x14ac:dyDescent="0.2">
      <c r="B210" s="192">
        <f t="shared" si="6"/>
        <v>45641</v>
      </c>
      <c r="C210" s="315">
        <v>79.517240000000001</v>
      </c>
      <c r="D210" s="315">
        <v>63.051724137931032</v>
      </c>
      <c r="E210" s="315">
        <v>108.21086206896551</v>
      </c>
      <c r="F210" s="315">
        <v>313.99972413793103</v>
      </c>
      <c r="G210" s="22">
        <f t="shared" si="7"/>
        <v>205.7888620689655</v>
      </c>
      <c r="H210" s="22">
        <f>IFERROR(IF(Yearending&gt;B209,'5. Historical demand'!F210-'5. Historical demand'!C210-'5. Historical demand'!D210,""),"")</f>
        <v>171.43075999999996</v>
      </c>
      <c r="I210" s="22">
        <f t="shared" si="8"/>
        <v>34.358102068965522</v>
      </c>
    </row>
    <row r="211" spans="2:9" x14ac:dyDescent="0.2">
      <c r="B211" s="192">
        <f t="shared" si="6"/>
        <v>45642</v>
      </c>
      <c r="C211" s="315">
        <v>79.517240000000001</v>
      </c>
      <c r="D211" s="315">
        <v>63.051724137931032</v>
      </c>
      <c r="E211" s="315">
        <v>84.610137931034487</v>
      </c>
      <c r="F211" s="315">
        <v>313.99972413793103</v>
      </c>
      <c r="G211" s="22">
        <f t="shared" si="7"/>
        <v>229.38958620689652</v>
      </c>
      <c r="H211" s="22">
        <f>IFERROR(IF(Yearending&gt;B210,'5. Historical demand'!F211-'5. Historical demand'!C211-'5. Historical demand'!D211,""),"")</f>
        <v>171.43075999999996</v>
      </c>
      <c r="I211" s="22">
        <f t="shared" si="8"/>
        <v>57.958826206896546</v>
      </c>
    </row>
    <row r="212" spans="2:9" x14ac:dyDescent="0.2">
      <c r="B212" s="192">
        <f t="shared" si="6"/>
        <v>45643</v>
      </c>
      <c r="C212" s="315">
        <v>79.517240000000001</v>
      </c>
      <c r="D212" s="315">
        <v>63.051724137931032</v>
      </c>
      <c r="E212" s="315">
        <v>70.765586206896558</v>
      </c>
      <c r="F212" s="315">
        <v>313.99972413793103</v>
      </c>
      <c r="G212" s="22">
        <f t="shared" si="7"/>
        <v>243.23413793103447</v>
      </c>
      <c r="H212" s="22">
        <f>IFERROR(IF(Yearending&gt;B211,'5. Historical demand'!F212-'5. Historical demand'!C212-'5. Historical demand'!D212,""),"")</f>
        <v>171.43075999999996</v>
      </c>
      <c r="I212" s="22">
        <f t="shared" si="8"/>
        <v>71.803377931034476</v>
      </c>
    </row>
    <row r="213" spans="2:9" x14ac:dyDescent="0.2">
      <c r="B213" s="192">
        <f t="shared" si="6"/>
        <v>45644</v>
      </c>
      <c r="C213" s="315">
        <v>79.517240000000001</v>
      </c>
      <c r="D213" s="315">
        <v>63.051724137931032</v>
      </c>
      <c r="E213" s="315">
        <v>91.574517241379311</v>
      </c>
      <c r="F213" s="315">
        <v>313.99972413793103</v>
      </c>
      <c r="G213" s="22">
        <f t="shared" si="7"/>
        <v>222.42520689655171</v>
      </c>
      <c r="H213" s="22">
        <f>IFERROR(IF(Yearending&gt;B212,'5. Historical demand'!F213-'5. Historical demand'!C213-'5. Historical demand'!D213,""),"")</f>
        <v>171.43075999999996</v>
      </c>
      <c r="I213" s="22">
        <f t="shared" si="8"/>
        <v>50.994446896551722</v>
      </c>
    </row>
    <row r="214" spans="2:9" x14ac:dyDescent="0.2">
      <c r="B214" s="192">
        <f t="shared" si="6"/>
        <v>45645</v>
      </c>
      <c r="C214" s="315">
        <v>79.517240000000001</v>
      </c>
      <c r="D214" s="315">
        <v>63.051724137931032</v>
      </c>
      <c r="E214" s="315">
        <v>76.883689655172418</v>
      </c>
      <c r="F214" s="315">
        <v>313.99972413793103</v>
      </c>
      <c r="G214" s="22">
        <f t="shared" si="7"/>
        <v>237.11603448275861</v>
      </c>
      <c r="H214" s="22">
        <f>IFERROR(IF(Yearending&gt;B213,'5. Historical demand'!F214-'5. Historical demand'!C214-'5. Historical demand'!D214,""),"")</f>
        <v>171.43075999999996</v>
      </c>
      <c r="I214" s="22">
        <f t="shared" si="8"/>
        <v>65.685274482758615</v>
      </c>
    </row>
    <row r="215" spans="2:9" x14ac:dyDescent="0.2">
      <c r="B215" s="192">
        <f t="shared" si="6"/>
        <v>45646</v>
      </c>
      <c r="C215" s="315">
        <v>79.517240000000001</v>
      </c>
      <c r="D215" s="315">
        <v>63.051724137931032</v>
      </c>
      <c r="E215" s="315">
        <v>70.344137931034481</v>
      </c>
      <c r="F215" s="315">
        <v>313.99972413793103</v>
      </c>
      <c r="G215" s="22">
        <f t="shared" si="7"/>
        <v>243.65558620689654</v>
      </c>
      <c r="H215" s="22">
        <f>IFERROR(IF(Yearending&gt;B214,'5. Historical demand'!F215-'5. Historical demand'!C215-'5. Historical demand'!D215,""),"")</f>
        <v>171.43075999999996</v>
      </c>
      <c r="I215" s="22">
        <f t="shared" si="8"/>
        <v>72.224826206896552</v>
      </c>
    </row>
    <row r="216" spans="2:9" x14ac:dyDescent="0.2">
      <c r="B216" s="192">
        <f t="shared" si="6"/>
        <v>45647</v>
      </c>
      <c r="C216" s="315">
        <v>79.517240000000001</v>
      </c>
      <c r="D216" s="315">
        <v>63.051724137931032</v>
      </c>
      <c r="E216" s="315">
        <v>77.607758620689651</v>
      </c>
      <c r="F216" s="315">
        <v>313.99972413793103</v>
      </c>
      <c r="G216" s="22">
        <f t="shared" si="7"/>
        <v>236.39196551724137</v>
      </c>
      <c r="H216" s="22">
        <f>IFERROR(IF(Yearending&gt;B215,'5. Historical demand'!F216-'5. Historical demand'!C216-'5. Historical demand'!D216,""),"")</f>
        <v>171.43075999999996</v>
      </c>
      <c r="I216" s="22">
        <f t="shared" si="8"/>
        <v>64.961205517241382</v>
      </c>
    </row>
    <row r="217" spans="2:9" x14ac:dyDescent="0.2">
      <c r="B217" s="192">
        <f t="shared" si="6"/>
        <v>45648</v>
      </c>
      <c r="C217" s="315">
        <v>79.517240000000001</v>
      </c>
      <c r="D217" s="315">
        <v>63.051724137931032</v>
      </c>
      <c r="E217" s="315">
        <v>67.602068965517248</v>
      </c>
      <c r="F217" s="315">
        <v>313.99972413793103</v>
      </c>
      <c r="G217" s="22">
        <f t="shared" si="7"/>
        <v>246.39765517241378</v>
      </c>
      <c r="H217" s="22">
        <f>IFERROR(IF(Yearending&gt;B216,'5. Historical demand'!F217-'5. Historical demand'!C217-'5. Historical demand'!D217,""),"")</f>
        <v>171.43075999999996</v>
      </c>
      <c r="I217" s="22">
        <f t="shared" si="8"/>
        <v>74.966895172413786</v>
      </c>
    </row>
    <row r="218" spans="2:9" x14ac:dyDescent="0.2">
      <c r="B218" s="192">
        <f t="shared" si="6"/>
        <v>45649</v>
      </c>
      <c r="C218" s="315">
        <v>79.517240000000001</v>
      </c>
      <c r="D218" s="315">
        <v>63.051724137931032</v>
      </c>
      <c r="E218" s="315">
        <v>64.853965517241377</v>
      </c>
      <c r="F218" s="315">
        <v>313.99972413793103</v>
      </c>
      <c r="G218" s="22">
        <f t="shared" si="7"/>
        <v>249.14575862068966</v>
      </c>
      <c r="H218" s="22">
        <f>IFERROR(IF(Yearending&gt;B217,'5. Historical demand'!F218-'5. Historical demand'!C218-'5. Historical demand'!D218,""),"")</f>
        <v>171.43075999999996</v>
      </c>
      <c r="I218" s="22">
        <f t="shared" si="8"/>
        <v>77.714998620689656</v>
      </c>
    </row>
    <row r="219" spans="2:9" x14ac:dyDescent="0.2">
      <c r="B219" s="192">
        <f t="shared" si="6"/>
        <v>45650</v>
      </c>
      <c r="C219" s="315">
        <v>79.517240000000001</v>
      </c>
      <c r="D219" s="315">
        <v>63.051724137931032</v>
      </c>
      <c r="E219" s="315">
        <v>64.310724137931032</v>
      </c>
      <c r="F219" s="315">
        <v>313.99972413793103</v>
      </c>
      <c r="G219" s="22">
        <f t="shared" si="7"/>
        <v>249.68899999999999</v>
      </c>
      <c r="H219" s="22">
        <f>IFERROR(IF(Yearending&gt;B218,'5. Historical demand'!F219-'5. Historical demand'!C219-'5. Historical demand'!D219,""),"")</f>
        <v>171.43075999999996</v>
      </c>
      <c r="I219" s="22">
        <f t="shared" si="8"/>
        <v>78.258240000000001</v>
      </c>
    </row>
    <row r="220" spans="2:9" x14ac:dyDescent="0.2">
      <c r="B220" s="192">
        <f t="shared" si="6"/>
        <v>45651</v>
      </c>
      <c r="C220" s="315">
        <v>79.517240000000001</v>
      </c>
      <c r="D220" s="315">
        <v>63.051724137931032</v>
      </c>
      <c r="E220" s="315">
        <v>61.582206896551725</v>
      </c>
      <c r="F220" s="315">
        <v>313.99972413793103</v>
      </c>
      <c r="G220" s="22">
        <f t="shared" si="7"/>
        <v>252.4175172413793</v>
      </c>
      <c r="H220" s="22">
        <f>IFERROR(IF(Yearending&gt;B219,'5. Historical demand'!F220-'5. Historical demand'!C220-'5. Historical demand'!D220,""),"")</f>
        <v>171.43075999999996</v>
      </c>
      <c r="I220" s="22">
        <f t="shared" si="8"/>
        <v>80.986757241379308</v>
      </c>
    </row>
    <row r="221" spans="2:9" x14ac:dyDescent="0.2">
      <c r="B221" s="192">
        <f t="shared" si="6"/>
        <v>45652</v>
      </c>
      <c r="C221" s="315">
        <v>79.517240000000001</v>
      </c>
      <c r="D221" s="315">
        <v>63.051724137931032</v>
      </c>
      <c r="E221" s="315">
        <v>63.932724137931032</v>
      </c>
      <c r="F221" s="315">
        <v>313.99972413793103</v>
      </c>
      <c r="G221" s="22">
        <f t="shared" si="7"/>
        <v>250.06700000000001</v>
      </c>
      <c r="H221" s="22">
        <f>IFERROR(IF(Yearending&gt;B220,'5. Historical demand'!F221-'5. Historical demand'!C221-'5. Historical demand'!D221,""),"")</f>
        <v>171.43075999999996</v>
      </c>
      <c r="I221" s="22">
        <f t="shared" si="8"/>
        <v>78.636240000000001</v>
      </c>
    </row>
    <row r="222" spans="2:9" x14ac:dyDescent="0.2">
      <c r="B222" s="192">
        <f t="shared" si="6"/>
        <v>45653</v>
      </c>
      <c r="C222" s="315">
        <v>79.517240000000001</v>
      </c>
      <c r="D222" s="315">
        <v>63.051724137931032</v>
      </c>
      <c r="E222" s="315">
        <v>64.017482758620687</v>
      </c>
      <c r="F222" s="315">
        <v>313.99972413793103</v>
      </c>
      <c r="G222" s="22">
        <f t="shared" si="7"/>
        <v>249.98224137931032</v>
      </c>
      <c r="H222" s="22">
        <f>IFERROR(IF(Yearending&gt;B221,'5. Historical demand'!F222-'5. Historical demand'!C222-'5. Historical demand'!D222,""),"")</f>
        <v>171.43075999999996</v>
      </c>
      <c r="I222" s="22">
        <f t="shared" si="8"/>
        <v>78.551481379310346</v>
      </c>
    </row>
    <row r="223" spans="2:9" x14ac:dyDescent="0.2">
      <c r="B223" s="192">
        <f t="shared" si="6"/>
        <v>45654</v>
      </c>
      <c r="C223" s="315">
        <v>79.517240000000001</v>
      </c>
      <c r="D223" s="315">
        <v>63.051724137931032</v>
      </c>
      <c r="E223" s="315">
        <v>67.162758620689658</v>
      </c>
      <c r="F223" s="315">
        <v>313.99972413793103</v>
      </c>
      <c r="G223" s="22">
        <f t="shared" si="7"/>
        <v>246.83696551724137</v>
      </c>
      <c r="H223" s="22">
        <f>IFERROR(IF(Yearending&gt;B222,'5. Historical demand'!F223-'5. Historical demand'!C223-'5. Historical demand'!D223,""),"")</f>
        <v>171.43075999999996</v>
      </c>
      <c r="I223" s="22">
        <f t="shared" si="8"/>
        <v>75.406205517241375</v>
      </c>
    </row>
    <row r="224" spans="2:9" x14ac:dyDescent="0.2">
      <c r="B224" s="192">
        <f t="shared" si="6"/>
        <v>45655</v>
      </c>
      <c r="C224" s="315">
        <v>79.517240000000001</v>
      </c>
      <c r="D224" s="315">
        <v>63.051724137931032</v>
      </c>
      <c r="E224" s="315">
        <v>73.53779310344828</v>
      </c>
      <c r="F224" s="315">
        <v>313.99972413793103</v>
      </c>
      <c r="G224" s="22">
        <f t="shared" si="7"/>
        <v>240.46193103448275</v>
      </c>
      <c r="H224" s="22">
        <f>IFERROR(IF(Yearending&gt;B223,'5. Historical demand'!F224-'5. Historical demand'!C224-'5. Historical demand'!D224,""),"")</f>
        <v>171.43075999999996</v>
      </c>
      <c r="I224" s="22">
        <f t="shared" si="8"/>
        <v>69.031171034482753</v>
      </c>
    </row>
    <row r="225" spans="2:9" x14ac:dyDescent="0.2">
      <c r="B225" s="192">
        <f t="shared" si="6"/>
        <v>45656</v>
      </c>
      <c r="C225" s="315">
        <v>79.517240000000001</v>
      </c>
      <c r="D225" s="315">
        <v>63.051724137931032</v>
      </c>
      <c r="E225" s="315">
        <v>88.634586206896557</v>
      </c>
      <c r="F225" s="315">
        <v>313.99972413793103</v>
      </c>
      <c r="G225" s="22">
        <f t="shared" si="7"/>
        <v>225.36513793103447</v>
      </c>
      <c r="H225" s="22">
        <f>IFERROR(IF(Yearending&gt;B224,'5. Historical demand'!F225-'5. Historical demand'!C225-'5. Historical demand'!D225,""),"")</f>
        <v>171.43075999999996</v>
      </c>
      <c r="I225" s="22">
        <f t="shared" si="8"/>
        <v>53.934377931034476</v>
      </c>
    </row>
    <row r="226" spans="2:9" x14ac:dyDescent="0.2">
      <c r="B226" s="192">
        <f t="shared" si="6"/>
        <v>45657</v>
      </c>
      <c r="C226" s="315">
        <v>79.517240000000001</v>
      </c>
      <c r="D226" s="315">
        <v>63.051724137931032</v>
      </c>
      <c r="E226" s="315">
        <v>79.127344827586214</v>
      </c>
      <c r="F226" s="315">
        <v>313.99972413793103</v>
      </c>
      <c r="G226" s="22">
        <f t="shared" si="7"/>
        <v>234.8723793103448</v>
      </c>
      <c r="H226" s="22">
        <f>IFERROR(IF(Yearending&gt;B225,'5. Historical demand'!F226-'5. Historical demand'!C226-'5. Historical demand'!D226,""),"")</f>
        <v>171.43075999999996</v>
      </c>
      <c r="I226" s="22">
        <f t="shared" si="8"/>
        <v>63.441619310344819</v>
      </c>
    </row>
    <row r="227" spans="2:9" x14ac:dyDescent="0.2">
      <c r="B227" s="192">
        <f t="shared" si="6"/>
        <v>45658</v>
      </c>
      <c r="C227" s="315">
        <v>79.517240000000001</v>
      </c>
      <c r="D227" s="315">
        <v>62.017241379310342</v>
      </c>
      <c r="E227" s="315">
        <v>73.39089655172414</v>
      </c>
      <c r="F227" s="315">
        <v>314.00024137931035</v>
      </c>
      <c r="G227" s="22">
        <f t="shared" si="7"/>
        <v>240.6093448275862</v>
      </c>
      <c r="H227" s="22">
        <f>IFERROR(IF(Yearending&gt;B226,'5. Historical demand'!F227-'5. Historical demand'!C227-'5. Historical demand'!D227,""),"")</f>
        <v>172.46575999999999</v>
      </c>
      <c r="I227" s="22">
        <f t="shared" si="8"/>
        <v>68.143584827586196</v>
      </c>
    </row>
    <row r="228" spans="2:9" x14ac:dyDescent="0.2">
      <c r="B228" s="192">
        <f t="shared" si="6"/>
        <v>45659</v>
      </c>
      <c r="C228" s="315">
        <v>79.517240000000001</v>
      </c>
      <c r="D228" s="315">
        <v>62.017241379310342</v>
      </c>
      <c r="E228" s="315">
        <v>76.977999999999994</v>
      </c>
      <c r="F228" s="315">
        <v>314.00024137931035</v>
      </c>
      <c r="G228" s="22">
        <f t="shared" si="7"/>
        <v>237.02224137931034</v>
      </c>
      <c r="H228" s="22">
        <f>IFERROR(IF(Yearending&gt;B227,'5. Historical demand'!F228-'5. Historical demand'!C228-'5. Historical demand'!D228,""),"")</f>
        <v>172.46575999999999</v>
      </c>
      <c r="I228" s="22">
        <f t="shared" si="8"/>
        <v>64.556481379310341</v>
      </c>
    </row>
    <row r="229" spans="2:9" x14ac:dyDescent="0.2">
      <c r="B229" s="192">
        <f t="shared" si="6"/>
        <v>45660</v>
      </c>
      <c r="C229" s="315">
        <v>79.517240000000001</v>
      </c>
      <c r="D229" s="315">
        <v>62.017241379310342</v>
      </c>
      <c r="E229" s="315">
        <v>85.447275862068963</v>
      </c>
      <c r="F229" s="315">
        <v>314.00024137931035</v>
      </c>
      <c r="G229" s="22">
        <f t="shared" si="7"/>
        <v>228.55296551724138</v>
      </c>
      <c r="H229" s="22">
        <f>IFERROR(IF(Yearending&gt;B228,'5. Historical demand'!F229-'5. Historical demand'!C229-'5. Historical demand'!D229,""),"")</f>
        <v>172.46575999999999</v>
      </c>
      <c r="I229" s="22">
        <f t="shared" si="8"/>
        <v>56.087205517241372</v>
      </c>
    </row>
    <row r="230" spans="2:9" x14ac:dyDescent="0.2">
      <c r="B230" s="192">
        <f t="shared" si="6"/>
        <v>45661</v>
      </c>
      <c r="C230" s="315">
        <v>79.517240000000001</v>
      </c>
      <c r="D230" s="315">
        <v>62.017241379310342</v>
      </c>
      <c r="E230" s="315">
        <v>86.048448275862071</v>
      </c>
      <c r="F230" s="315">
        <v>314.00024137931035</v>
      </c>
      <c r="G230" s="22">
        <f t="shared" si="7"/>
        <v>227.95179310344827</v>
      </c>
      <c r="H230" s="22">
        <f>IFERROR(IF(Yearending&gt;B229,'5. Historical demand'!F230-'5. Historical demand'!C230-'5. Historical demand'!D230,""),"")</f>
        <v>172.46575999999999</v>
      </c>
      <c r="I230" s="22">
        <f t="shared" si="8"/>
        <v>55.486033103448264</v>
      </c>
    </row>
    <row r="231" spans="2:9" x14ac:dyDescent="0.2">
      <c r="B231" s="192">
        <f t="shared" si="6"/>
        <v>45662</v>
      </c>
      <c r="C231" s="315">
        <v>79.517240000000001</v>
      </c>
      <c r="D231" s="315">
        <v>62.017241379310342</v>
      </c>
      <c r="E231" s="315">
        <v>73.312827586206893</v>
      </c>
      <c r="F231" s="315">
        <v>314.00024137931035</v>
      </c>
      <c r="G231" s="22">
        <f t="shared" si="7"/>
        <v>240.68741379310347</v>
      </c>
      <c r="H231" s="22">
        <f>IFERROR(IF(Yearending&gt;B230,'5. Historical demand'!F231-'5. Historical demand'!C231-'5. Historical demand'!D231,""),"")</f>
        <v>172.46575999999999</v>
      </c>
      <c r="I231" s="22">
        <f t="shared" si="8"/>
        <v>68.221653793103442</v>
      </c>
    </row>
    <row r="232" spans="2:9" x14ac:dyDescent="0.2">
      <c r="B232" s="192">
        <f t="shared" si="6"/>
        <v>45663</v>
      </c>
      <c r="C232" s="315">
        <v>79.517240000000001</v>
      </c>
      <c r="D232" s="315">
        <v>62.017241379310342</v>
      </c>
      <c r="E232" s="315">
        <v>77.499793103448283</v>
      </c>
      <c r="F232" s="315">
        <v>314.00024137931035</v>
      </c>
      <c r="G232" s="22">
        <f t="shared" si="7"/>
        <v>236.50044827586208</v>
      </c>
      <c r="H232" s="22">
        <f>IFERROR(IF(Yearending&gt;B231,'5. Historical demand'!F232-'5. Historical demand'!C232-'5. Historical demand'!D232,""),"")</f>
        <v>172.46575999999999</v>
      </c>
      <c r="I232" s="22">
        <f t="shared" si="8"/>
        <v>64.034688275862052</v>
      </c>
    </row>
    <row r="233" spans="2:9" x14ac:dyDescent="0.2">
      <c r="B233" s="192">
        <f t="shared" si="6"/>
        <v>45664</v>
      </c>
      <c r="C233" s="315">
        <v>79.517240000000001</v>
      </c>
      <c r="D233" s="315">
        <v>62.017241379310342</v>
      </c>
      <c r="E233" s="315">
        <v>82.924379310344833</v>
      </c>
      <c r="F233" s="315">
        <v>314.00024137931035</v>
      </c>
      <c r="G233" s="22">
        <f t="shared" si="7"/>
        <v>231.07586206896553</v>
      </c>
      <c r="H233" s="22">
        <f>IFERROR(IF(Yearending&gt;B232,'5. Historical demand'!F233-'5. Historical demand'!C233-'5. Historical demand'!D233,""),"")</f>
        <v>172.46575999999999</v>
      </c>
      <c r="I233" s="22">
        <f t="shared" si="8"/>
        <v>58.610102068965503</v>
      </c>
    </row>
    <row r="234" spans="2:9" x14ac:dyDescent="0.2">
      <c r="B234" s="192">
        <f t="shared" si="6"/>
        <v>45665</v>
      </c>
      <c r="C234" s="315">
        <v>79.517240000000001</v>
      </c>
      <c r="D234" s="315">
        <v>62.017241379310342</v>
      </c>
      <c r="E234" s="315">
        <v>86.577310344827595</v>
      </c>
      <c r="F234" s="315">
        <v>314.00024137931035</v>
      </c>
      <c r="G234" s="22">
        <f t="shared" si="7"/>
        <v>227.42293103448276</v>
      </c>
      <c r="H234" s="22">
        <f>IFERROR(IF(Yearending&gt;B233,'5. Historical demand'!F234-'5. Historical demand'!C234-'5. Historical demand'!D234,""),"")</f>
        <v>172.46575999999999</v>
      </c>
      <c r="I234" s="22">
        <f t="shared" si="8"/>
        <v>54.957171034482741</v>
      </c>
    </row>
    <row r="235" spans="2:9" x14ac:dyDescent="0.2">
      <c r="B235" s="192">
        <f t="shared" si="6"/>
        <v>45666</v>
      </c>
      <c r="C235" s="315">
        <v>79.517240000000001</v>
      </c>
      <c r="D235" s="315">
        <v>62.017241379310342</v>
      </c>
      <c r="E235" s="315">
        <v>87.196413793103446</v>
      </c>
      <c r="F235" s="315">
        <v>314.00024137931035</v>
      </c>
      <c r="G235" s="22">
        <f t="shared" si="7"/>
        <v>226.80382758620692</v>
      </c>
      <c r="H235" s="22">
        <f>IFERROR(IF(Yearending&gt;B234,'5. Historical demand'!F235-'5. Historical demand'!C235-'5. Historical demand'!D235,""),"")</f>
        <v>172.46575999999999</v>
      </c>
      <c r="I235" s="22">
        <f t="shared" si="8"/>
        <v>54.33806758620689</v>
      </c>
    </row>
    <row r="236" spans="2:9" x14ac:dyDescent="0.2">
      <c r="B236" s="192">
        <f t="shared" ref="B236:B299" si="9">IFERROR(IF(Yearending&gt;B235, B235+1, ""),"")</f>
        <v>45667</v>
      </c>
      <c r="C236" s="315">
        <v>79.517240000000001</v>
      </c>
      <c r="D236" s="315">
        <v>62.017241379310342</v>
      </c>
      <c r="E236" s="315">
        <v>98.489620689655169</v>
      </c>
      <c r="F236" s="315">
        <v>314.00024137931035</v>
      </c>
      <c r="G236" s="22">
        <f t="shared" ref="G236:G299" si="10">IFERROR(IF(Yearending&gt;B235,F236-E236,""),"")</f>
        <v>215.51062068965518</v>
      </c>
      <c r="H236" s="22">
        <f>IFERROR(IF(Yearending&gt;B235,'5. Historical demand'!F236-'5. Historical demand'!C236-'5. Historical demand'!D236,""),"")</f>
        <v>172.46575999999999</v>
      </c>
      <c r="I236" s="22">
        <f t="shared" ref="I236:I299" si="11">IFERROR(IF(Yearending&gt;B235,C236+D236-E236,""),"")</f>
        <v>43.044860689655167</v>
      </c>
    </row>
    <row r="237" spans="2:9" x14ac:dyDescent="0.2">
      <c r="B237" s="192">
        <f t="shared" si="9"/>
        <v>45668</v>
      </c>
      <c r="C237" s="315">
        <v>79.517240000000001</v>
      </c>
      <c r="D237" s="315">
        <v>62.017241379310342</v>
      </c>
      <c r="E237" s="315">
        <v>73.27372413793104</v>
      </c>
      <c r="F237" s="315">
        <v>314.00024137931035</v>
      </c>
      <c r="G237" s="22">
        <f t="shared" si="10"/>
        <v>240.72651724137933</v>
      </c>
      <c r="H237" s="22">
        <f>IFERROR(IF(Yearending&gt;B236,'5. Historical demand'!F237-'5. Historical demand'!C237-'5. Historical demand'!D237,""),"")</f>
        <v>172.46575999999999</v>
      </c>
      <c r="I237" s="22">
        <f t="shared" si="11"/>
        <v>68.260757241379295</v>
      </c>
    </row>
    <row r="238" spans="2:9" x14ac:dyDescent="0.2">
      <c r="B238" s="192">
        <f t="shared" si="9"/>
        <v>45669</v>
      </c>
      <c r="C238" s="315">
        <v>79.517240000000001</v>
      </c>
      <c r="D238" s="315">
        <v>62.017241379310342</v>
      </c>
      <c r="E238" s="315">
        <v>94.489448275862074</v>
      </c>
      <c r="F238" s="315">
        <v>314.00024137931035</v>
      </c>
      <c r="G238" s="22">
        <f t="shared" si="10"/>
        <v>219.51079310344829</v>
      </c>
      <c r="H238" s="22">
        <f>IFERROR(IF(Yearending&gt;B237,'5. Historical demand'!F238-'5. Historical demand'!C238-'5. Historical demand'!D238,""),"")</f>
        <v>172.46575999999999</v>
      </c>
      <c r="I238" s="22">
        <f t="shared" si="11"/>
        <v>47.045033103448262</v>
      </c>
    </row>
    <row r="239" spans="2:9" x14ac:dyDescent="0.2">
      <c r="B239" s="192">
        <f t="shared" si="9"/>
        <v>45670</v>
      </c>
      <c r="C239" s="315">
        <v>79.517240000000001</v>
      </c>
      <c r="D239" s="315">
        <v>62.017241379310342</v>
      </c>
      <c r="E239" s="315">
        <v>86.253655172413801</v>
      </c>
      <c r="F239" s="315">
        <v>314.00024137931035</v>
      </c>
      <c r="G239" s="22">
        <f t="shared" si="10"/>
        <v>227.74658620689655</v>
      </c>
      <c r="H239" s="22">
        <f>IFERROR(IF(Yearending&gt;B238,'5. Historical demand'!F239-'5. Historical demand'!C239-'5. Historical demand'!D239,""),"")</f>
        <v>172.46575999999999</v>
      </c>
      <c r="I239" s="22">
        <f t="shared" si="11"/>
        <v>55.280826206896535</v>
      </c>
    </row>
    <row r="240" spans="2:9" x14ac:dyDescent="0.2">
      <c r="B240" s="192">
        <f t="shared" si="9"/>
        <v>45671</v>
      </c>
      <c r="C240" s="315">
        <v>79.517240000000001</v>
      </c>
      <c r="D240" s="315">
        <v>62.017241379310342</v>
      </c>
      <c r="E240" s="315">
        <v>81.035413793103459</v>
      </c>
      <c r="F240" s="315">
        <v>314.00024137931035</v>
      </c>
      <c r="G240" s="22">
        <f t="shared" si="10"/>
        <v>232.96482758620689</v>
      </c>
      <c r="H240" s="22">
        <f>IFERROR(IF(Yearending&gt;B239,'5. Historical demand'!F240-'5. Historical demand'!C240-'5. Historical demand'!D240,""),"")</f>
        <v>172.46575999999999</v>
      </c>
      <c r="I240" s="22">
        <f t="shared" si="11"/>
        <v>60.499067586206877</v>
      </c>
    </row>
    <row r="241" spans="2:9" x14ac:dyDescent="0.2">
      <c r="B241" s="192">
        <f t="shared" si="9"/>
        <v>45672</v>
      </c>
      <c r="C241" s="315">
        <v>79.517240000000001</v>
      </c>
      <c r="D241" s="315">
        <v>62.017241379310342</v>
      </c>
      <c r="E241" s="315">
        <v>66.993344827586213</v>
      </c>
      <c r="F241" s="315">
        <v>314.00024137931035</v>
      </c>
      <c r="G241" s="22">
        <f t="shared" si="10"/>
        <v>247.00689655172414</v>
      </c>
      <c r="H241" s="22">
        <f>IFERROR(IF(Yearending&gt;B240,'5. Historical demand'!F241-'5. Historical demand'!C241-'5. Historical demand'!D241,""),"")</f>
        <v>172.46575999999999</v>
      </c>
      <c r="I241" s="22">
        <f t="shared" si="11"/>
        <v>74.541136551724122</v>
      </c>
    </row>
    <row r="242" spans="2:9" x14ac:dyDescent="0.2">
      <c r="B242" s="192">
        <f t="shared" si="9"/>
        <v>45673</v>
      </c>
      <c r="C242" s="315">
        <v>79.517240000000001</v>
      </c>
      <c r="D242" s="315">
        <v>62.017241379310342</v>
      </c>
      <c r="E242" s="315">
        <v>74.86972413793103</v>
      </c>
      <c r="F242" s="315">
        <v>314.00024137931035</v>
      </c>
      <c r="G242" s="22">
        <f t="shared" si="10"/>
        <v>239.13051724137932</v>
      </c>
      <c r="H242" s="22">
        <f>IFERROR(IF(Yearending&gt;B241,'5. Historical demand'!F242-'5. Historical demand'!C242-'5. Historical demand'!D242,""),"")</f>
        <v>172.46575999999999</v>
      </c>
      <c r="I242" s="22">
        <f t="shared" si="11"/>
        <v>66.664757241379306</v>
      </c>
    </row>
    <row r="243" spans="2:9" x14ac:dyDescent="0.2">
      <c r="B243" s="192">
        <f t="shared" si="9"/>
        <v>45674</v>
      </c>
      <c r="C243" s="315">
        <v>79.517240000000001</v>
      </c>
      <c r="D243" s="315">
        <v>62.017241379310342</v>
      </c>
      <c r="E243" s="315">
        <v>58.108034482758626</v>
      </c>
      <c r="F243" s="315">
        <v>314.00024137931035</v>
      </c>
      <c r="G243" s="22">
        <f t="shared" si="10"/>
        <v>255.89220689655173</v>
      </c>
      <c r="H243" s="22">
        <f>IFERROR(IF(Yearending&gt;B242,'5. Historical demand'!F243-'5. Historical demand'!C243-'5. Historical demand'!D243,""),"")</f>
        <v>172.46575999999999</v>
      </c>
      <c r="I243" s="22">
        <f t="shared" si="11"/>
        <v>83.42644689655171</v>
      </c>
    </row>
    <row r="244" spans="2:9" x14ac:dyDescent="0.2">
      <c r="B244" s="192">
        <f t="shared" si="9"/>
        <v>45675</v>
      </c>
      <c r="C244" s="315">
        <v>79.517240000000001</v>
      </c>
      <c r="D244" s="315">
        <v>62.017241379310342</v>
      </c>
      <c r="E244" s="315">
        <v>62.902172413793103</v>
      </c>
      <c r="F244" s="315">
        <v>314.00024137931035</v>
      </c>
      <c r="G244" s="22">
        <f t="shared" si="10"/>
        <v>251.09806896551726</v>
      </c>
      <c r="H244" s="22">
        <f>IFERROR(IF(Yearending&gt;B243,'5. Historical demand'!F244-'5. Historical demand'!C244-'5. Historical demand'!D244,""),"")</f>
        <v>172.46575999999999</v>
      </c>
      <c r="I244" s="22">
        <f t="shared" si="11"/>
        <v>78.63230896551724</v>
      </c>
    </row>
    <row r="245" spans="2:9" x14ac:dyDescent="0.2">
      <c r="B245" s="192">
        <f t="shared" si="9"/>
        <v>45676</v>
      </c>
      <c r="C245" s="315">
        <v>79.517240000000001</v>
      </c>
      <c r="D245" s="315">
        <v>62.017241379310342</v>
      </c>
      <c r="E245" s="315">
        <v>99.439758620689659</v>
      </c>
      <c r="F245" s="315">
        <v>314.00024137931035</v>
      </c>
      <c r="G245" s="22">
        <f t="shared" si="10"/>
        <v>214.56048275862071</v>
      </c>
      <c r="H245" s="22">
        <f>IFERROR(IF(Yearending&gt;B244,'5. Historical demand'!F245-'5. Historical demand'!C245-'5. Historical demand'!D245,""),"")</f>
        <v>172.46575999999999</v>
      </c>
      <c r="I245" s="22">
        <f t="shared" si="11"/>
        <v>42.094722758620676</v>
      </c>
    </row>
    <row r="246" spans="2:9" x14ac:dyDescent="0.2">
      <c r="B246" s="192">
        <f t="shared" si="9"/>
        <v>45677</v>
      </c>
      <c r="C246" s="315">
        <v>79.517240000000001</v>
      </c>
      <c r="D246" s="315">
        <v>62.017241379310342</v>
      </c>
      <c r="E246" s="315">
        <v>93.270379310344822</v>
      </c>
      <c r="F246" s="315">
        <v>314.00024137931035</v>
      </c>
      <c r="G246" s="22">
        <f t="shared" si="10"/>
        <v>220.72986206896553</v>
      </c>
      <c r="H246" s="22">
        <f>IFERROR(IF(Yearending&gt;B245,'5. Historical demand'!F246-'5. Historical demand'!C246-'5. Historical demand'!D246,""),"")</f>
        <v>172.46575999999999</v>
      </c>
      <c r="I246" s="22">
        <f t="shared" si="11"/>
        <v>48.264102068965514</v>
      </c>
    </row>
    <row r="247" spans="2:9" x14ac:dyDescent="0.2">
      <c r="B247" s="192">
        <f t="shared" si="9"/>
        <v>45678</v>
      </c>
      <c r="C247" s="315">
        <v>79.517240000000001</v>
      </c>
      <c r="D247" s="315">
        <v>62.017241379310342</v>
      </c>
      <c r="E247" s="315">
        <v>71.991068965517258</v>
      </c>
      <c r="F247" s="315">
        <v>314.00024137931035</v>
      </c>
      <c r="G247" s="22">
        <f t="shared" si="10"/>
        <v>242.0091724137931</v>
      </c>
      <c r="H247" s="22">
        <f>IFERROR(IF(Yearending&gt;B246,'5. Historical demand'!F247-'5. Historical demand'!C247-'5. Historical demand'!D247,""),"")</f>
        <v>172.46575999999999</v>
      </c>
      <c r="I247" s="22">
        <f t="shared" si="11"/>
        <v>69.543412413793078</v>
      </c>
    </row>
    <row r="248" spans="2:9" x14ac:dyDescent="0.2">
      <c r="B248" s="192">
        <f t="shared" si="9"/>
        <v>45679</v>
      </c>
      <c r="C248" s="315">
        <v>79.517240000000001</v>
      </c>
      <c r="D248" s="315">
        <v>62.017241379310342</v>
      </c>
      <c r="E248" s="315">
        <v>62.968620689655175</v>
      </c>
      <c r="F248" s="315">
        <v>314.00024137931035</v>
      </c>
      <c r="G248" s="22">
        <f t="shared" si="10"/>
        <v>251.03162068965517</v>
      </c>
      <c r="H248" s="22">
        <f>IFERROR(IF(Yearending&gt;B247,'5. Historical demand'!F248-'5. Historical demand'!C248-'5. Historical demand'!D248,""),"")</f>
        <v>172.46575999999999</v>
      </c>
      <c r="I248" s="22">
        <f t="shared" si="11"/>
        <v>78.565860689655153</v>
      </c>
    </row>
    <row r="249" spans="2:9" x14ac:dyDescent="0.2">
      <c r="B249" s="192">
        <f t="shared" si="9"/>
        <v>45680</v>
      </c>
      <c r="C249" s="315">
        <v>79.517240000000001</v>
      </c>
      <c r="D249" s="315">
        <v>62.017241379310342</v>
      </c>
      <c r="E249" s="315">
        <v>64.54279310344829</v>
      </c>
      <c r="F249" s="315">
        <v>314.00024137931035</v>
      </c>
      <c r="G249" s="22">
        <f t="shared" si="10"/>
        <v>249.45744827586208</v>
      </c>
      <c r="H249" s="22">
        <f>IFERROR(IF(Yearending&gt;B248,'5. Historical demand'!F249-'5. Historical demand'!C249-'5. Historical demand'!D249,""),"")</f>
        <v>172.46575999999999</v>
      </c>
      <c r="I249" s="22">
        <f t="shared" si="11"/>
        <v>76.991688275862046</v>
      </c>
    </row>
    <row r="250" spans="2:9" x14ac:dyDescent="0.2">
      <c r="B250" s="192">
        <f t="shared" si="9"/>
        <v>45681</v>
      </c>
      <c r="C250" s="315">
        <v>79.517240000000001</v>
      </c>
      <c r="D250" s="315">
        <v>62.017241379310342</v>
      </c>
      <c r="E250" s="315">
        <v>69.51889655172414</v>
      </c>
      <c r="F250" s="315">
        <v>314.00024137931035</v>
      </c>
      <c r="G250" s="22">
        <f t="shared" si="10"/>
        <v>244.48134482758621</v>
      </c>
      <c r="H250" s="22">
        <f>IFERROR(IF(Yearending&gt;B249,'5. Historical demand'!F250-'5. Historical demand'!C250-'5. Historical demand'!D250,""),"")</f>
        <v>172.46575999999999</v>
      </c>
      <c r="I250" s="22">
        <f t="shared" si="11"/>
        <v>72.015584827586196</v>
      </c>
    </row>
    <row r="251" spans="2:9" x14ac:dyDescent="0.2">
      <c r="B251" s="192">
        <f t="shared" si="9"/>
        <v>45682</v>
      </c>
      <c r="C251" s="315">
        <v>79.517240000000001</v>
      </c>
      <c r="D251" s="315">
        <v>62.017241379310342</v>
      </c>
      <c r="E251" s="315">
        <v>67.122793103448274</v>
      </c>
      <c r="F251" s="315">
        <v>314.00024137931035</v>
      </c>
      <c r="G251" s="22">
        <f t="shared" si="10"/>
        <v>246.87744827586209</v>
      </c>
      <c r="H251" s="22">
        <f>IFERROR(IF(Yearending&gt;B250,'5. Historical demand'!F251-'5. Historical demand'!C251-'5. Historical demand'!D251,""),"")</f>
        <v>172.46575999999999</v>
      </c>
      <c r="I251" s="22">
        <f t="shared" si="11"/>
        <v>74.411688275862062</v>
      </c>
    </row>
    <row r="252" spans="2:9" x14ac:dyDescent="0.2">
      <c r="B252" s="192">
        <f t="shared" si="9"/>
        <v>45683</v>
      </c>
      <c r="C252" s="315">
        <v>79.517240000000001</v>
      </c>
      <c r="D252" s="315">
        <v>62.017241379310342</v>
      </c>
      <c r="E252" s="315">
        <v>74.447172413793112</v>
      </c>
      <c r="F252" s="315">
        <v>314.00024137931035</v>
      </c>
      <c r="G252" s="22">
        <f t="shared" si="10"/>
        <v>239.55306896551724</v>
      </c>
      <c r="H252" s="22">
        <f>IFERROR(IF(Yearending&gt;B251,'5. Historical demand'!F252-'5. Historical demand'!C252-'5. Historical demand'!D252,""),"")</f>
        <v>172.46575999999999</v>
      </c>
      <c r="I252" s="22">
        <f t="shared" si="11"/>
        <v>67.087308965517224</v>
      </c>
    </row>
    <row r="253" spans="2:9" x14ac:dyDescent="0.2">
      <c r="B253" s="192">
        <f t="shared" si="9"/>
        <v>45684</v>
      </c>
      <c r="C253" s="315">
        <v>79.517240000000001</v>
      </c>
      <c r="D253" s="315">
        <v>62.017241379310342</v>
      </c>
      <c r="E253" s="315">
        <v>68.295344827586206</v>
      </c>
      <c r="F253" s="315">
        <v>314.00024137931035</v>
      </c>
      <c r="G253" s="22">
        <f t="shared" si="10"/>
        <v>245.70489655172415</v>
      </c>
      <c r="H253" s="22">
        <f>IFERROR(IF(Yearending&gt;B252,'5. Historical demand'!F253-'5. Historical demand'!C253-'5. Historical demand'!D253,""),"")</f>
        <v>172.46575999999999</v>
      </c>
      <c r="I253" s="22">
        <f t="shared" si="11"/>
        <v>73.23913655172413</v>
      </c>
    </row>
    <row r="254" spans="2:9" x14ac:dyDescent="0.2">
      <c r="B254" s="192">
        <f t="shared" si="9"/>
        <v>45685</v>
      </c>
      <c r="C254" s="315">
        <v>79.517240000000001</v>
      </c>
      <c r="D254" s="315">
        <v>62.017241379310342</v>
      </c>
      <c r="E254" s="315">
        <v>72.052344827586211</v>
      </c>
      <c r="F254" s="315">
        <v>314.00024137931035</v>
      </c>
      <c r="G254" s="22">
        <f t="shared" si="10"/>
        <v>241.94789655172414</v>
      </c>
      <c r="H254" s="22">
        <f>IFERROR(IF(Yearending&gt;B253,'5. Historical demand'!F254-'5. Historical demand'!C254-'5. Historical demand'!D254,""),"")</f>
        <v>172.46575999999999</v>
      </c>
      <c r="I254" s="22">
        <f t="shared" si="11"/>
        <v>69.482136551724125</v>
      </c>
    </row>
    <row r="255" spans="2:9" x14ac:dyDescent="0.2">
      <c r="B255" s="192">
        <f t="shared" si="9"/>
        <v>45686</v>
      </c>
      <c r="C255" s="315">
        <v>79.517240000000001</v>
      </c>
      <c r="D255" s="315">
        <v>62.017241379310342</v>
      </c>
      <c r="E255" s="315">
        <v>73.189310344827589</v>
      </c>
      <c r="F255" s="315">
        <v>314.00024137931035</v>
      </c>
      <c r="G255" s="22">
        <f t="shared" si="10"/>
        <v>240.81093103448276</v>
      </c>
      <c r="H255" s="22">
        <f>IFERROR(IF(Yearending&gt;B254,'5. Historical demand'!F255-'5. Historical demand'!C255-'5. Historical demand'!D255,""),"")</f>
        <v>172.46575999999999</v>
      </c>
      <c r="I255" s="22">
        <f t="shared" si="11"/>
        <v>68.345171034482746</v>
      </c>
    </row>
    <row r="256" spans="2:9" x14ac:dyDescent="0.2">
      <c r="B256" s="192">
        <f t="shared" si="9"/>
        <v>45687</v>
      </c>
      <c r="C256" s="315">
        <v>79.517240000000001</v>
      </c>
      <c r="D256" s="315">
        <v>62.017241379310342</v>
      </c>
      <c r="E256" s="315">
        <v>69.738379310344826</v>
      </c>
      <c r="F256" s="315">
        <v>314.00024137931035</v>
      </c>
      <c r="G256" s="22">
        <f t="shared" si="10"/>
        <v>244.26186206896551</v>
      </c>
      <c r="H256" s="22">
        <f>IFERROR(IF(Yearending&gt;B255,'5. Historical demand'!F256-'5. Historical demand'!C256-'5. Historical demand'!D256,""),"")</f>
        <v>172.46575999999999</v>
      </c>
      <c r="I256" s="22">
        <f t="shared" si="11"/>
        <v>71.79610206896551</v>
      </c>
    </row>
    <row r="257" spans="2:9" x14ac:dyDescent="0.2">
      <c r="B257" s="192">
        <f t="shared" si="9"/>
        <v>45688</v>
      </c>
      <c r="C257" s="315">
        <v>79.517240000000001</v>
      </c>
      <c r="D257" s="315">
        <v>62.017241379310342</v>
      </c>
      <c r="E257" s="315">
        <v>64.311206896551724</v>
      </c>
      <c r="F257" s="315">
        <v>314.00024137931035</v>
      </c>
      <c r="G257" s="22">
        <f t="shared" si="10"/>
        <v>249.68903448275864</v>
      </c>
      <c r="H257" s="22">
        <f>IFERROR(IF(Yearending&gt;B256,'5. Historical demand'!F257-'5. Historical demand'!C257-'5. Historical demand'!D257,""),"")</f>
        <v>172.46575999999999</v>
      </c>
      <c r="I257" s="22">
        <f t="shared" si="11"/>
        <v>77.223274482758612</v>
      </c>
    </row>
    <row r="258" spans="2:9" x14ac:dyDescent="0.2">
      <c r="B258" s="192">
        <f t="shared" si="9"/>
        <v>45689</v>
      </c>
      <c r="C258" s="315">
        <v>79.517240000000001</v>
      </c>
      <c r="D258" s="315">
        <v>62.017241379310342</v>
      </c>
      <c r="E258" s="315">
        <v>76.184827586206893</v>
      </c>
      <c r="F258" s="315">
        <v>314.00024137931035</v>
      </c>
      <c r="G258" s="22">
        <f t="shared" si="10"/>
        <v>237.81541379310346</v>
      </c>
      <c r="H258" s="22">
        <f>IFERROR(IF(Yearending&gt;B257,'5. Historical demand'!F258-'5. Historical demand'!C258-'5. Historical demand'!D258,""),"")</f>
        <v>172.46575999999999</v>
      </c>
      <c r="I258" s="22">
        <f t="shared" si="11"/>
        <v>65.349653793103442</v>
      </c>
    </row>
    <row r="259" spans="2:9" x14ac:dyDescent="0.2">
      <c r="B259" s="192">
        <f t="shared" si="9"/>
        <v>45690</v>
      </c>
      <c r="C259" s="315">
        <v>79.517240000000001</v>
      </c>
      <c r="D259" s="315">
        <v>62.017241379310342</v>
      </c>
      <c r="E259" s="315">
        <v>78.308275862068967</v>
      </c>
      <c r="F259" s="315">
        <v>314.00024137931035</v>
      </c>
      <c r="G259" s="22">
        <f t="shared" si="10"/>
        <v>235.69196551724139</v>
      </c>
      <c r="H259" s="22">
        <f>IFERROR(IF(Yearending&gt;B258,'5. Historical demand'!F259-'5. Historical demand'!C259-'5. Historical demand'!D259,""),"")</f>
        <v>172.46575999999999</v>
      </c>
      <c r="I259" s="22">
        <f t="shared" si="11"/>
        <v>63.226205517241368</v>
      </c>
    </row>
    <row r="260" spans="2:9" x14ac:dyDescent="0.2">
      <c r="B260" s="192">
        <f t="shared" si="9"/>
        <v>45691</v>
      </c>
      <c r="C260" s="315">
        <v>79.517240000000001</v>
      </c>
      <c r="D260" s="315">
        <v>62.017241379310342</v>
      </c>
      <c r="E260" s="315">
        <v>91.499344827586214</v>
      </c>
      <c r="F260" s="315">
        <v>314.00024137931035</v>
      </c>
      <c r="G260" s="22">
        <f t="shared" si="10"/>
        <v>222.50089655172414</v>
      </c>
      <c r="H260" s="22">
        <f>IFERROR(IF(Yearending&gt;B259,'5. Historical demand'!F260-'5. Historical demand'!C260-'5. Historical demand'!D260,""),"")</f>
        <v>172.46575999999999</v>
      </c>
      <c r="I260" s="22">
        <f t="shared" si="11"/>
        <v>50.035136551724122</v>
      </c>
    </row>
    <row r="261" spans="2:9" x14ac:dyDescent="0.2">
      <c r="B261" s="192">
        <f t="shared" si="9"/>
        <v>45692</v>
      </c>
      <c r="C261" s="315">
        <v>79.517240000000001</v>
      </c>
      <c r="D261" s="315">
        <v>62.017241379310342</v>
      </c>
      <c r="E261" s="315">
        <v>57.15979310344828</v>
      </c>
      <c r="F261" s="315">
        <v>314.00024137931035</v>
      </c>
      <c r="G261" s="22">
        <f t="shared" si="10"/>
        <v>256.84044827586206</v>
      </c>
      <c r="H261" s="22">
        <f>IFERROR(IF(Yearending&gt;B260,'5. Historical demand'!F261-'5. Historical demand'!C261-'5. Historical demand'!D261,""),"")</f>
        <v>172.46575999999999</v>
      </c>
      <c r="I261" s="22">
        <f t="shared" si="11"/>
        <v>84.374688275862056</v>
      </c>
    </row>
    <row r="262" spans="2:9" x14ac:dyDescent="0.2">
      <c r="B262" s="192">
        <f t="shared" si="9"/>
        <v>45693</v>
      </c>
      <c r="C262" s="315">
        <v>79.517240000000001</v>
      </c>
      <c r="D262" s="315">
        <v>62.017241379310342</v>
      </c>
      <c r="E262" s="315">
        <v>75.087655172413804</v>
      </c>
      <c r="F262" s="315">
        <v>314.00024137931035</v>
      </c>
      <c r="G262" s="22">
        <f t="shared" si="10"/>
        <v>238.91258620689655</v>
      </c>
      <c r="H262" s="22">
        <f>IFERROR(IF(Yearending&gt;B261,'5. Historical demand'!F262-'5. Historical demand'!C262-'5. Historical demand'!D262,""),"")</f>
        <v>172.46575999999999</v>
      </c>
      <c r="I262" s="22">
        <f t="shared" si="11"/>
        <v>66.446826206896532</v>
      </c>
    </row>
    <row r="263" spans="2:9" x14ac:dyDescent="0.2">
      <c r="B263" s="192">
        <f t="shared" si="9"/>
        <v>45694</v>
      </c>
      <c r="C263" s="315">
        <v>79.517240000000001</v>
      </c>
      <c r="D263" s="315">
        <v>62.017241379310342</v>
      </c>
      <c r="E263" s="315">
        <v>76.896413793103449</v>
      </c>
      <c r="F263" s="315">
        <v>314.00024137931035</v>
      </c>
      <c r="G263" s="22">
        <f t="shared" si="10"/>
        <v>237.1038275862069</v>
      </c>
      <c r="H263" s="22">
        <f>IFERROR(IF(Yearending&gt;B262,'5. Historical demand'!F263-'5. Historical demand'!C263-'5. Historical demand'!D263,""),"")</f>
        <v>172.46575999999999</v>
      </c>
      <c r="I263" s="22">
        <f t="shared" si="11"/>
        <v>64.638067586206887</v>
      </c>
    </row>
    <row r="264" spans="2:9" x14ac:dyDescent="0.2">
      <c r="B264" s="192">
        <f t="shared" si="9"/>
        <v>45695</v>
      </c>
      <c r="C264" s="315">
        <v>79.517240000000001</v>
      </c>
      <c r="D264" s="315">
        <v>62.017241379310342</v>
      </c>
      <c r="E264" s="315">
        <v>49.100586206896551</v>
      </c>
      <c r="F264" s="315">
        <v>314.00024137931035</v>
      </c>
      <c r="G264" s="22">
        <f t="shared" si="10"/>
        <v>264.89965517241382</v>
      </c>
      <c r="H264" s="22">
        <f>IFERROR(IF(Yearending&gt;B263,'5. Historical demand'!F264-'5. Historical demand'!C264-'5. Historical demand'!D264,""),"")</f>
        <v>172.46575999999999</v>
      </c>
      <c r="I264" s="22">
        <f t="shared" si="11"/>
        <v>92.433895172413784</v>
      </c>
    </row>
    <row r="265" spans="2:9" x14ac:dyDescent="0.2">
      <c r="B265" s="192">
        <f t="shared" si="9"/>
        <v>45696</v>
      </c>
      <c r="C265" s="315">
        <v>79.517240000000001</v>
      </c>
      <c r="D265" s="315">
        <v>62.017241379310342</v>
      </c>
      <c r="E265" s="315">
        <v>68.259793103448274</v>
      </c>
      <c r="F265" s="315">
        <v>314.00024137931035</v>
      </c>
      <c r="G265" s="22">
        <f t="shared" si="10"/>
        <v>245.74044827586209</v>
      </c>
      <c r="H265" s="22">
        <f>IFERROR(IF(Yearending&gt;B264,'5. Historical demand'!F265-'5. Historical demand'!C265-'5. Historical demand'!D265,""),"")</f>
        <v>172.46575999999999</v>
      </c>
      <c r="I265" s="22">
        <f t="shared" si="11"/>
        <v>73.274688275862061</v>
      </c>
    </row>
    <row r="266" spans="2:9" x14ac:dyDescent="0.2">
      <c r="B266" s="192">
        <f t="shared" si="9"/>
        <v>45697</v>
      </c>
      <c r="C266" s="315">
        <v>79.517240000000001</v>
      </c>
      <c r="D266" s="315">
        <v>62.017241379310342</v>
      </c>
      <c r="E266" s="315">
        <v>81.890379310344827</v>
      </c>
      <c r="F266" s="315">
        <v>314.00024137931035</v>
      </c>
      <c r="G266" s="22">
        <f t="shared" si="10"/>
        <v>232.10986206896553</v>
      </c>
      <c r="H266" s="22">
        <f>IFERROR(IF(Yearending&gt;B265,'5. Historical demand'!F266-'5. Historical demand'!C266-'5. Historical demand'!D266,""),"")</f>
        <v>172.46575999999999</v>
      </c>
      <c r="I266" s="22">
        <f t="shared" si="11"/>
        <v>59.644102068965509</v>
      </c>
    </row>
    <row r="267" spans="2:9" x14ac:dyDescent="0.2">
      <c r="B267" s="192">
        <f t="shared" si="9"/>
        <v>45698</v>
      </c>
      <c r="C267" s="315">
        <v>79.517240000000001</v>
      </c>
      <c r="D267" s="315">
        <v>62.017241379310342</v>
      </c>
      <c r="E267" s="315">
        <v>78.295482758620693</v>
      </c>
      <c r="F267" s="315">
        <v>314.00024137931035</v>
      </c>
      <c r="G267" s="22">
        <f t="shared" si="10"/>
        <v>235.70475862068966</v>
      </c>
      <c r="H267" s="22">
        <f>IFERROR(IF(Yearending&gt;B266,'5. Historical demand'!F267-'5. Historical demand'!C267-'5. Historical demand'!D267,""),"")</f>
        <v>172.46575999999999</v>
      </c>
      <c r="I267" s="22">
        <f t="shared" si="11"/>
        <v>63.238998620689642</v>
      </c>
    </row>
    <row r="268" spans="2:9" x14ac:dyDescent="0.2">
      <c r="B268" s="192">
        <f t="shared" si="9"/>
        <v>45699</v>
      </c>
      <c r="C268" s="315">
        <v>79.517240000000001</v>
      </c>
      <c r="D268" s="315">
        <v>62.017241379310342</v>
      </c>
      <c r="E268" s="315">
        <v>100.1291724137931</v>
      </c>
      <c r="F268" s="315">
        <v>314.00024137931035</v>
      </c>
      <c r="G268" s="22">
        <f t="shared" si="10"/>
        <v>213.87106896551725</v>
      </c>
      <c r="H268" s="22">
        <f>IFERROR(IF(Yearending&gt;B267,'5. Historical demand'!F268-'5. Historical demand'!C268-'5. Historical demand'!D268,""),"")</f>
        <v>172.46575999999999</v>
      </c>
      <c r="I268" s="22">
        <f t="shared" si="11"/>
        <v>41.405308965517236</v>
      </c>
    </row>
    <row r="269" spans="2:9" x14ac:dyDescent="0.2">
      <c r="B269" s="192">
        <f t="shared" si="9"/>
        <v>45700</v>
      </c>
      <c r="C269" s="315">
        <v>79.517240000000001</v>
      </c>
      <c r="D269" s="315">
        <v>62.017241379310342</v>
      </c>
      <c r="E269" s="315">
        <v>85.872965517241383</v>
      </c>
      <c r="F269" s="315">
        <v>314.00024137931035</v>
      </c>
      <c r="G269" s="22">
        <f t="shared" si="10"/>
        <v>228.12727586206898</v>
      </c>
      <c r="H269" s="22">
        <f>IFERROR(IF(Yearending&gt;B268,'5. Historical demand'!F269-'5. Historical demand'!C269-'5. Historical demand'!D269,""),"")</f>
        <v>172.46575999999999</v>
      </c>
      <c r="I269" s="22">
        <f t="shared" si="11"/>
        <v>55.661515862068953</v>
      </c>
    </row>
    <row r="270" spans="2:9" x14ac:dyDescent="0.2">
      <c r="B270" s="192">
        <f t="shared" si="9"/>
        <v>45701</v>
      </c>
      <c r="C270" s="315">
        <v>79.517240000000001</v>
      </c>
      <c r="D270" s="315">
        <v>62.017241379310342</v>
      </c>
      <c r="E270" s="315">
        <v>66.388689655172413</v>
      </c>
      <c r="F270" s="315">
        <v>314.00024137931035</v>
      </c>
      <c r="G270" s="22">
        <f t="shared" si="10"/>
        <v>247.61155172413794</v>
      </c>
      <c r="H270" s="22">
        <f>IFERROR(IF(Yearending&gt;B269,'5. Historical demand'!F270-'5. Historical demand'!C270-'5. Historical demand'!D270,""),"")</f>
        <v>172.46575999999999</v>
      </c>
      <c r="I270" s="22">
        <f t="shared" si="11"/>
        <v>75.145791724137922</v>
      </c>
    </row>
    <row r="271" spans="2:9" x14ac:dyDescent="0.2">
      <c r="B271" s="192">
        <f t="shared" si="9"/>
        <v>45702</v>
      </c>
      <c r="C271" s="315">
        <v>79.517240000000001</v>
      </c>
      <c r="D271" s="315">
        <v>62.017241379310342</v>
      </c>
      <c r="E271" s="315">
        <v>68.751482758620696</v>
      </c>
      <c r="F271" s="315">
        <v>314.00024137931035</v>
      </c>
      <c r="G271" s="22">
        <f t="shared" si="10"/>
        <v>245.24875862068967</v>
      </c>
      <c r="H271" s="22">
        <f>IFERROR(IF(Yearending&gt;B270,'5. Historical demand'!F271-'5. Historical demand'!C271-'5. Historical demand'!D271,""),"")</f>
        <v>172.46575999999999</v>
      </c>
      <c r="I271" s="22">
        <f t="shared" si="11"/>
        <v>72.782998620689639</v>
      </c>
    </row>
    <row r="272" spans="2:9" x14ac:dyDescent="0.2">
      <c r="B272" s="192">
        <f t="shared" si="9"/>
        <v>45703</v>
      </c>
      <c r="C272" s="315">
        <v>79.517240000000001</v>
      </c>
      <c r="D272" s="315">
        <v>62.017241379310342</v>
      </c>
      <c r="E272" s="315">
        <v>69.257137931034492</v>
      </c>
      <c r="F272" s="315">
        <v>314.00024137931035</v>
      </c>
      <c r="G272" s="22">
        <f t="shared" si="10"/>
        <v>244.74310344827586</v>
      </c>
      <c r="H272" s="22">
        <f>IFERROR(IF(Yearending&gt;B271,'5. Historical demand'!F272-'5. Historical demand'!C272-'5. Historical demand'!D272,""),"")</f>
        <v>172.46575999999999</v>
      </c>
      <c r="I272" s="22">
        <f t="shared" si="11"/>
        <v>72.277343448275843</v>
      </c>
    </row>
    <row r="273" spans="2:9" x14ac:dyDescent="0.2">
      <c r="B273" s="192">
        <f t="shared" si="9"/>
        <v>45704</v>
      </c>
      <c r="C273" s="315">
        <v>79.517240000000001</v>
      </c>
      <c r="D273" s="315">
        <v>62.017241379310342</v>
      </c>
      <c r="E273" s="315">
        <v>67.920862068965519</v>
      </c>
      <c r="F273" s="315">
        <v>314.00024137931035</v>
      </c>
      <c r="G273" s="22">
        <f t="shared" si="10"/>
        <v>246.07937931034485</v>
      </c>
      <c r="H273" s="22">
        <f>IFERROR(IF(Yearending&gt;B272,'5. Historical demand'!F273-'5. Historical demand'!C273-'5. Historical demand'!D273,""),"")</f>
        <v>172.46575999999999</v>
      </c>
      <c r="I273" s="22">
        <f t="shared" si="11"/>
        <v>73.613619310344816</v>
      </c>
    </row>
    <row r="274" spans="2:9" x14ac:dyDescent="0.2">
      <c r="B274" s="192">
        <f t="shared" si="9"/>
        <v>45705</v>
      </c>
      <c r="C274" s="315">
        <v>79.517240000000001</v>
      </c>
      <c r="D274" s="315">
        <v>62.017241379310342</v>
      </c>
      <c r="E274" s="315">
        <v>70.179241379310355</v>
      </c>
      <c r="F274" s="315">
        <v>314.00024137931035</v>
      </c>
      <c r="G274" s="22">
        <f t="shared" si="10"/>
        <v>243.821</v>
      </c>
      <c r="H274" s="22">
        <f>IFERROR(IF(Yearending&gt;B273,'5. Historical demand'!F274-'5. Historical demand'!C274-'5. Historical demand'!D274,""),"")</f>
        <v>172.46575999999999</v>
      </c>
      <c r="I274" s="22">
        <f t="shared" si="11"/>
        <v>71.355239999999981</v>
      </c>
    </row>
    <row r="275" spans="2:9" x14ac:dyDescent="0.2">
      <c r="B275" s="192">
        <f t="shared" si="9"/>
        <v>45706</v>
      </c>
      <c r="C275" s="315">
        <v>79.517240000000001</v>
      </c>
      <c r="D275" s="315">
        <v>62.017241379310342</v>
      </c>
      <c r="E275" s="315">
        <v>68.057965517241385</v>
      </c>
      <c r="F275" s="315">
        <v>314.00024137931035</v>
      </c>
      <c r="G275" s="22">
        <f t="shared" si="10"/>
        <v>245.94227586206898</v>
      </c>
      <c r="H275" s="22">
        <f>IFERROR(IF(Yearending&gt;B274,'5. Historical demand'!F275-'5. Historical demand'!C275-'5. Historical demand'!D275,""),"")</f>
        <v>172.46575999999999</v>
      </c>
      <c r="I275" s="22">
        <f t="shared" si="11"/>
        <v>73.47651586206895</v>
      </c>
    </row>
    <row r="276" spans="2:9" x14ac:dyDescent="0.2">
      <c r="B276" s="192">
        <f t="shared" si="9"/>
        <v>45707</v>
      </c>
      <c r="C276" s="315">
        <v>79.517240000000001</v>
      </c>
      <c r="D276" s="315">
        <v>62.017241379310342</v>
      </c>
      <c r="E276" s="315">
        <v>67.786896551724141</v>
      </c>
      <c r="F276" s="315">
        <v>314.00024137931035</v>
      </c>
      <c r="G276" s="22">
        <f t="shared" si="10"/>
        <v>246.21334482758621</v>
      </c>
      <c r="H276" s="22">
        <f>IFERROR(IF(Yearending&gt;B275,'5. Historical demand'!F276-'5. Historical demand'!C276-'5. Historical demand'!D276,""),"")</f>
        <v>172.46575999999999</v>
      </c>
      <c r="I276" s="22">
        <f t="shared" si="11"/>
        <v>73.747584827586195</v>
      </c>
    </row>
    <row r="277" spans="2:9" x14ac:dyDescent="0.2">
      <c r="B277" s="192">
        <f t="shared" si="9"/>
        <v>45708</v>
      </c>
      <c r="C277" s="315">
        <v>79.517240000000001</v>
      </c>
      <c r="D277" s="315">
        <v>62.017241379310342</v>
      </c>
      <c r="E277" s="315">
        <v>64.592862068965516</v>
      </c>
      <c r="F277" s="315">
        <v>314.00024137931035</v>
      </c>
      <c r="G277" s="22">
        <f t="shared" si="10"/>
        <v>249.40737931034482</v>
      </c>
      <c r="H277" s="22">
        <f>IFERROR(IF(Yearending&gt;B276,'5. Historical demand'!F277-'5. Historical demand'!C277-'5. Historical demand'!D277,""),"")</f>
        <v>172.46575999999999</v>
      </c>
      <c r="I277" s="22">
        <f t="shared" si="11"/>
        <v>76.941619310344819</v>
      </c>
    </row>
    <row r="278" spans="2:9" x14ac:dyDescent="0.2">
      <c r="B278" s="192">
        <f t="shared" si="9"/>
        <v>45709</v>
      </c>
      <c r="C278" s="315">
        <v>79.517240000000001</v>
      </c>
      <c r="D278" s="315">
        <v>62.017241379310342</v>
      </c>
      <c r="E278" s="315">
        <v>68.442068965517237</v>
      </c>
      <c r="F278" s="315">
        <v>314.00024137931035</v>
      </c>
      <c r="G278" s="22">
        <f t="shared" si="10"/>
        <v>245.5581724137931</v>
      </c>
      <c r="H278" s="22">
        <f>IFERROR(IF(Yearending&gt;B277,'5. Historical demand'!F278-'5. Historical demand'!C278-'5. Historical demand'!D278,""),"")</f>
        <v>172.46575999999999</v>
      </c>
      <c r="I278" s="22">
        <f t="shared" si="11"/>
        <v>73.092412413793099</v>
      </c>
    </row>
    <row r="279" spans="2:9" x14ac:dyDescent="0.2">
      <c r="B279" s="192">
        <f t="shared" si="9"/>
        <v>45710</v>
      </c>
      <c r="C279" s="315">
        <v>79.517240000000001</v>
      </c>
      <c r="D279" s="315">
        <v>62.017241379310342</v>
      </c>
      <c r="E279" s="315">
        <v>77.499896551724134</v>
      </c>
      <c r="F279" s="315">
        <v>314.00024137931035</v>
      </c>
      <c r="G279" s="22">
        <f t="shared" si="10"/>
        <v>236.50034482758622</v>
      </c>
      <c r="H279" s="22">
        <f>IFERROR(IF(Yearending&gt;B278,'5. Historical demand'!F279-'5. Historical demand'!C279-'5. Historical demand'!D279,""),"")</f>
        <v>172.46575999999999</v>
      </c>
      <c r="I279" s="22">
        <f t="shared" si="11"/>
        <v>64.034584827586201</v>
      </c>
    </row>
    <row r="280" spans="2:9" x14ac:dyDescent="0.2">
      <c r="B280" s="192">
        <f t="shared" si="9"/>
        <v>45711</v>
      </c>
      <c r="C280" s="315">
        <v>79.517240000000001</v>
      </c>
      <c r="D280" s="315">
        <v>62.017241379310342</v>
      </c>
      <c r="E280" s="315">
        <v>79.434862068965515</v>
      </c>
      <c r="F280" s="315">
        <v>314.00024137931035</v>
      </c>
      <c r="G280" s="22">
        <f t="shared" si="10"/>
        <v>234.56537931034484</v>
      </c>
      <c r="H280" s="22">
        <f>IFERROR(IF(Yearending&gt;B279,'5. Historical demand'!F280-'5. Historical demand'!C280-'5. Historical demand'!D280,""),"")</f>
        <v>172.46575999999999</v>
      </c>
      <c r="I280" s="22">
        <f t="shared" si="11"/>
        <v>62.099619310344821</v>
      </c>
    </row>
    <row r="281" spans="2:9" x14ac:dyDescent="0.2">
      <c r="B281" s="192">
        <f t="shared" si="9"/>
        <v>45712</v>
      </c>
      <c r="C281" s="315">
        <v>79.517240000000001</v>
      </c>
      <c r="D281" s="315">
        <v>62.017241379310342</v>
      </c>
      <c r="E281" s="315">
        <v>74.504379310344831</v>
      </c>
      <c r="F281" s="315">
        <v>314.00024137931035</v>
      </c>
      <c r="G281" s="22">
        <f t="shared" si="10"/>
        <v>239.49586206896552</v>
      </c>
      <c r="H281" s="22">
        <f>IFERROR(IF(Yearending&gt;B280,'5. Historical demand'!F281-'5. Historical demand'!C281-'5. Historical demand'!D281,""),"")</f>
        <v>172.46575999999999</v>
      </c>
      <c r="I281" s="22">
        <f t="shared" si="11"/>
        <v>67.030102068965505</v>
      </c>
    </row>
    <row r="282" spans="2:9" x14ac:dyDescent="0.2">
      <c r="B282" s="192">
        <f t="shared" si="9"/>
        <v>45713</v>
      </c>
      <c r="C282" s="315">
        <v>79.517240000000001</v>
      </c>
      <c r="D282" s="315">
        <v>62.017241379310342</v>
      </c>
      <c r="E282" s="315">
        <v>88.472344827586198</v>
      </c>
      <c r="F282" s="315">
        <v>314.00024137931035</v>
      </c>
      <c r="G282" s="22">
        <f t="shared" si="10"/>
        <v>225.52789655172415</v>
      </c>
      <c r="H282" s="22">
        <f>IFERROR(IF(Yearending&gt;B281,'5. Historical demand'!F282-'5. Historical demand'!C282-'5. Historical demand'!D282,""),"")</f>
        <v>172.46575999999999</v>
      </c>
      <c r="I282" s="22">
        <f t="shared" si="11"/>
        <v>53.062136551724137</v>
      </c>
    </row>
    <row r="283" spans="2:9" x14ac:dyDescent="0.2">
      <c r="B283" s="192">
        <f t="shared" si="9"/>
        <v>45714</v>
      </c>
      <c r="C283" s="315">
        <v>79.517240000000001</v>
      </c>
      <c r="D283" s="315">
        <v>62.017241379310342</v>
      </c>
      <c r="E283" s="315">
        <v>78.934517241379311</v>
      </c>
      <c r="F283" s="315">
        <v>314.00024137931035</v>
      </c>
      <c r="G283" s="22">
        <f t="shared" si="10"/>
        <v>235.06572413793106</v>
      </c>
      <c r="H283" s="22">
        <f>IFERROR(IF(Yearending&gt;B282,'5. Historical demand'!F283-'5. Historical demand'!C283-'5. Historical demand'!D283,""),"")</f>
        <v>172.46575999999999</v>
      </c>
      <c r="I283" s="22">
        <f t="shared" si="11"/>
        <v>62.599964137931025</v>
      </c>
    </row>
    <row r="284" spans="2:9" x14ac:dyDescent="0.2">
      <c r="B284" s="192">
        <f t="shared" si="9"/>
        <v>45715</v>
      </c>
      <c r="C284" s="315">
        <v>79.517240000000001</v>
      </c>
      <c r="D284" s="315">
        <v>62.017241379310342</v>
      </c>
      <c r="E284" s="315">
        <v>82.616517241379313</v>
      </c>
      <c r="F284" s="315">
        <v>314.00024137931035</v>
      </c>
      <c r="G284" s="22">
        <f t="shared" si="10"/>
        <v>231.38372413793104</v>
      </c>
      <c r="H284" s="22">
        <f>IFERROR(IF(Yearending&gt;B283,'5. Historical demand'!F284-'5. Historical demand'!C284-'5. Historical demand'!D284,""),"")</f>
        <v>172.46575999999999</v>
      </c>
      <c r="I284" s="22">
        <f t="shared" si="11"/>
        <v>58.917964137931023</v>
      </c>
    </row>
    <row r="285" spans="2:9" x14ac:dyDescent="0.2">
      <c r="B285" s="192">
        <f t="shared" si="9"/>
        <v>45716</v>
      </c>
      <c r="C285" s="315">
        <v>79.517240000000001</v>
      </c>
      <c r="D285" s="315">
        <v>62.017241379310342</v>
      </c>
      <c r="E285" s="315">
        <v>73.499206896551726</v>
      </c>
      <c r="F285" s="315">
        <v>314.00024137931035</v>
      </c>
      <c r="G285" s="22">
        <f t="shared" si="10"/>
        <v>240.50103448275863</v>
      </c>
      <c r="H285" s="22">
        <f>IFERROR(IF(Yearending&gt;B284,'5. Historical demand'!F285-'5. Historical demand'!C285-'5. Historical demand'!D285,""),"")</f>
        <v>172.46575999999999</v>
      </c>
      <c r="I285" s="22">
        <f t="shared" si="11"/>
        <v>68.035274482758609</v>
      </c>
    </row>
    <row r="286" spans="2:9" x14ac:dyDescent="0.2">
      <c r="B286" s="192">
        <f t="shared" si="9"/>
        <v>45717</v>
      </c>
      <c r="C286" s="315">
        <v>79.517240000000001</v>
      </c>
      <c r="D286" s="315">
        <v>62.017241379310342</v>
      </c>
      <c r="E286" s="315">
        <v>68.025206896551722</v>
      </c>
      <c r="F286" s="315">
        <v>314.00024137931035</v>
      </c>
      <c r="G286" s="22">
        <f t="shared" si="10"/>
        <v>245.97503448275864</v>
      </c>
      <c r="H286" s="22">
        <f>IFERROR(IF(Yearending&gt;B285,'5. Historical demand'!F286-'5. Historical demand'!C286-'5. Historical demand'!D286,""),"")</f>
        <v>172.46575999999999</v>
      </c>
      <c r="I286" s="22">
        <f t="shared" si="11"/>
        <v>73.509274482758613</v>
      </c>
    </row>
    <row r="287" spans="2:9" x14ac:dyDescent="0.2">
      <c r="B287" s="192">
        <f t="shared" si="9"/>
        <v>45718</v>
      </c>
      <c r="C287" s="315">
        <v>79.517240000000001</v>
      </c>
      <c r="D287" s="315">
        <v>62.017241379310342</v>
      </c>
      <c r="E287" s="315">
        <v>64.746896551724134</v>
      </c>
      <c r="F287" s="315">
        <v>314.00024137931035</v>
      </c>
      <c r="G287" s="22">
        <f t="shared" si="10"/>
        <v>249.2533448275862</v>
      </c>
      <c r="H287" s="22">
        <f>IFERROR(IF(Yearending&gt;B286,'5. Historical demand'!F287-'5. Historical demand'!C287-'5. Historical demand'!D287,""),"")</f>
        <v>172.46575999999999</v>
      </c>
      <c r="I287" s="22">
        <f t="shared" si="11"/>
        <v>76.787584827586201</v>
      </c>
    </row>
    <row r="288" spans="2:9" x14ac:dyDescent="0.2">
      <c r="B288" s="192">
        <f t="shared" si="9"/>
        <v>45719</v>
      </c>
      <c r="C288" s="315">
        <v>79.517240000000001</v>
      </c>
      <c r="D288" s="315">
        <v>62.017241379310342</v>
      </c>
      <c r="E288" s="315">
        <v>64.620413793103452</v>
      </c>
      <c r="F288" s="315">
        <v>314.00024137931035</v>
      </c>
      <c r="G288" s="22">
        <f t="shared" si="10"/>
        <v>249.37982758620689</v>
      </c>
      <c r="H288" s="22">
        <f>IFERROR(IF(Yearending&gt;B287,'5. Historical demand'!F288-'5. Historical demand'!C288-'5. Historical demand'!D288,""),"")</f>
        <v>172.46575999999999</v>
      </c>
      <c r="I288" s="22">
        <f t="shared" si="11"/>
        <v>76.914067586206883</v>
      </c>
    </row>
    <row r="289" spans="2:9" x14ac:dyDescent="0.2">
      <c r="B289" s="192">
        <f t="shared" si="9"/>
        <v>45720</v>
      </c>
      <c r="C289" s="315">
        <v>79.517240000000001</v>
      </c>
      <c r="D289" s="315">
        <v>62.017241379310342</v>
      </c>
      <c r="E289" s="315">
        <v>54.386068965517246</v>
      </c>
      <c r="F289" s="315">
        <v>314.00024137931035</v>
      </c>
      <c r="G289" s="22">
        <f t="shared" si="10"/>
        <v>259.61417241379309</v>
      </c>
      <c r="H289" s="22">
        <f>IFERROR(IF(Yearending&gt;B288,'5. Historical demand'!F289-'5. Historical demand'!C289-'5. Historical demand'!D289,""),"")</f>
        <v>172.46575999999999</v>
      </c>
      <c r="I289" s="22">
        <f t="shared" si="11"/>
        <v>87.148412413793096</v>
      </c>
    </row>
    <row r="290" spans="2:9" x14ac:dyDescent="0.2">
      <c r="B290" s="192">
        <f t="shared" si="9"/>
        <v>45721</v>
      </c>
      <c r="C290" s="315">
        <v>79.517240000000001</v>
      </c>
      <c r="D290" s="315">
        <v>62.017241379310342</v>
      </c>
      <c r="E290" s="315">
        <v>60.630448275862072</v>
      </c>
      <c r="F290" s="315">
        <v>314.00024137931035</v>
      </c>
      <c r="G290" s="22">
        <f t="shared" si="10"/>
        <v>253.36979310344827</v>
      </c>
      <c r="H290" s="22">
        <f>IFERROR(IF(Yearending&gt;B289,'5. Historical demand'!F290-'5. Historical demand'!C290-'5. Historical demand'!D290,""),"")</f>
        <v>172.46575999999999</v>
      </c>
      <c r="I290" s="22">
        <f t="shared" si="11"/>
        <v>80.904033103448256</v>
      </c>
    </row>
    <row r="291" spans="2:9" x14ac:dyDescent="0.2">
      <c r="B291" s="192">
        <f t="shared" si="9"/>
        <v>45722</v>
      </c>
      <c r="C291" s="315">
        <v>79.517240000000001</v>
      </c>
      <c r="D291" s="315">
        <v>62.017241379310342</v>
      </c>
      <c r="E291" s="315">
        <v>64.260034482758613</v>
      </c>
      <c r="F291" s="315">
        <v>314.00024137931035</v>
      </c>
      <c r="G291" s="22">
        <f t="shared" si="10"/>
        <v>249.74020689655174</v>
      </c>
      <c r="H291" s="22">
        <f>IFERROR(IF(Yearending&gt;B290,'5. Historical demand'!F291-'5. Historical demand'!C291-'5. Historical demand'!D291,""),"")</f>
        <v>172.46575999999999</v>
      </c>
      <c r="I291" s="22">
        <f t="shared" si="11"/>
        <v>77.274446896551723</v>
      </c>
    </row>
    <row r="292" spans="2:9" x14ac:dyDescent="0.2">
      <c r="B292" s="192">
        <f t="shared" si="9"/>
        <v>45723</v>
      </c>
      <c r="C292" s="315">
        <v>79.517240000000001</v>
      </c>
      <c r="D292" s="315">
        <v>62.017241379310342</v>
      </c>
      <c r="E292" s="315">
        <v>73.102275862068964</v>
      </c>
      <c r="F292" s="315">
        <v>314.00024137931035</v>
      </c>
      <c r="G292" s="22">
        <f t="shared" si="10"/>
        <v>240.8979655172414</v>
      </c>
      <c r="H292" s="22">
        <f>IFERROR(IF(Yearending&gt;B291,'5. Historical demand'!F292-'5. Historical demand'!C292-'5. Historical demand'!D292,""),"")</f>
        <v>172.46575999999999</v>
      </c>
      <c r="I292" s="22">
        <f t="shared" si="11"/>
        <v>68.432205517241371</v>
      </c>
    </row>
    <row r="293" spans="2:9" x14ac:dyDescent="0.2">
      <c r="B293" s="192">
        <f t="shared" si="9"/>
        <v>45724</v>
      </c>
      <c r="C293" s="315">
        <v>79.517240000000001</v>
      </c>
      <c r="D293" s="315">
        <v>62.017241379310342</v>
      </c>
      <c r="E293" s="315">
        <v>77.779862068965514</v>
      </c>
      <c r="F293" s="315">
        <v>314.00024137931035</v>
      </c>
      <c r="G293" s="22">
        <f t="shared" si="10"/>
        <v>236.22037931034484</v>
      </c>
      <c r="H293" s="22">
        <f>IFERROR(IF(Yearending&gt;B292,'5. Historical demand'!F293-'5. Historical demand'!C293-'5. Historical demand'!D293,""),"")</f>
        <v>172.46575999999999</v>
      </c>
      <c r="I293" s="22">
        <f t="shared" si="11"/>
        <v>63.754619310344822</v>
      </c>
    </row>
    <row r="294" spans="2:9" x14ac:dyDescent="0.2">
      <c r="B294" s="192">
        <f t="shared" si="9"/>
        <v>45725</v>
      </c>
      <c r="C294" s="315">
        <v>79.517240000000001</v>
      </c>
      <c r="D294" s="315">
        <v>62.017241379310342</v>
      </c>
      <c r="E294" s="315">
        <v>84.215344827586208</v>
      </c>
      <c r="F294" s="315">
        <v>314.00024137931035</v>
      </c>
      <c r="G294" s="22">
        <f t="shared" si="10"/>
        <v>229.78489655172416</v>
      </c>
      <c r="H294" s="22">
        <f>IFERROR(IF(Yearending&gt;B293,'5. Historical demand'!F294-'5. Historical demand'!C294-'5. Historical demand'!D294,""),"")</f>
        <v>172.46575999999999</v>
      </c>
      <c r="I294" s="22">
        <f t="shared" si="11"/>
        <v>57.319136551724128</v>
      </c>
    </row>
    <row r="295" spans="2:9" x14ac:dyDescent="0.2">
      <c r="B295" s="192">
        <f t="shared" si="9"/>
        <v>45726</v>
      </c>
      <c r="C295" s="315">
        <v>79.517240000000001</v>
      </c>
      <c r="D295" s="315">
        <v>62.017241379310342</v>
      </c>
      <c r="E295" s="315">
        <v>80.843310344827586</v>
      </c>
      <c r="F295" s="315">
        <v>314.00024137931035</v>
      </c>
      <c r="G295" s="22">
        <f t="shared" si="10"/>
        <v>233.15693103448277</v>
      </c>
      <c r="H295" s="22">
        <f>IFERROR(IF(Yearending&gt;B294,'5. Historical demand'!F295-'5. Historical demand'!C295-'5. Historical demand'!D295,""),"")</f>
        <v>172.46575999999999</v>
      </c>
      <c r="I295" s="22">
        <f t="shared" si="11"/>
        <v>60.69117103448275</v>
      </c>
    </row>
    <row r="296" spans="2:9" x14ac:dyDescent="0.2">
      <c r="B296" s="192">
        <f t="shared" si="9"/>
        <v>45727</v>
      </c>
      <c r="C296" s="315">
        <v>79.517240000000001</v>
      </c>
      <c r="D296" s="315">
        <v>62.017241379310342</v>
      </c>
      <c r="E296" s="315">
        <v>96.010482758620668</v>
      </c>
      <c r="F296" s="315">
        <v>314.00024137931035</v>
      </c>
      <c r="G296" s="22">
        <f t="shared" si="10"/>
        <v>217.98975862068968</v>
      </c>
      <c r="H296" s="22">
        <f>IFERROR(IF(Yearending&gt;B295,'5. Historical demand'!F296-'5. Historical demand'!C296-'5. Historical demand'!D296,""),"")</f>
        <v>172.46575999999999</v>
      </c>
      <c r="I296" s="22">
        <f t="shared" si="11"/>
        <v>45.523998620689667</v>
      </c>
    </row>
    <row r="297" spans="2:9" x14ac:dyDescent="0.2">
      <c r="B297" s="192">
        <f t="shared" si="9"/>
        <v>45728</v>
      </c>
      <c r="C297" s="315">
        <v>79.517240000000001</v>
      </c>
      <c r="D297" s="315">
        <v>62.017241379310342</v>
      </c>
      <c r="E297" s="315">
        <v>97.901275862068971</v>
      </c>
      <c r="F297" s="315">
        <v>314.00024137931035</v>
      </c>
      <c r="G297" s="22">
        <f t="shared" si="10"/>
        <v>216.09896551724137</v>
      </c>
      <c r="H297" s="22">
        <f>IFERROR(IF(Yearending&gt;B296,'5. Historical demand'!F297-'5. Historical demand'!C297-'5. Historical demand'!D297,""),"")</f>
        <v>172.46575999999999</v>
      </c>
      <c r="I297" s="22">
        <f t="shared" si="11"/>
        <v>43.633205517241365</v>
      </c>
    </row>
    <row r="298" spans="2:9" x14ac:dyDescent="0.2">
      <c r="B298" s="192">
        <f t="shared" si="9"/>
        <v>45729</v>
      </c>
      <c r="C298" s="315">
        <v>79.517240000000001</v>
      </c>
      <c r="D298" s="315">
        <v>62.017241379310342</v>
      </c>
      <c r="E298" s="315">
        <v>91.832448275862077</v>
      </c>
      <c r="F298" s="315">
        <v>314.00024137931035</v>
      </c>
      <c r="G298" s="22">
        <f t="shared" si="10"/>
        <v>222.16779310344828</v>
      </c>
      <c r="H298" s="22">
        <f>IFERROR(IF(Yearending&gt;B297,'5. Historical demand'!F298-'5. Historical demand'!C298-'5. Historical demand'!D298,""),"")</f>
        <v>172.46575999999999</v>
      </c>
      <c r="I298" s="22">
        <f t="shared" si="11"/>
        <v>49.702033103448258</v>
      </c>
    </row>
    <row r="299" spans="2:9" x14ac:dyDescent="0.2">
      <c r="B299" s="192">
        <f t="shared" si="9"/>
        <v>45730</v>
      </c>
      <c r="C299" s="315">
        <v>79.517240000000001</v>
      </c>
      <c r="D299" s="315">
        <v>62.017241379310342</v>
      </c>
      <c r="E299" s="315">
        <v>104.60993103448276</v>
      </c>
      <c r="F299" s="315">
        <v>314.00024137931035</v>
      </c>
      <c r="G299" s="22">
        <f t="shared" si="10"/>
        <v>209.39031034482758</v>
      </c>
      <c r="H299" s="22">
        <f>IFERROR(IF(Yearending&gt;B298,'5. Historical demand'!F299-'5. Historical demand'!C299-'5. Historical demand'!D299,""),"")</f>
        <v>172.46575999999999</v>
      </c>
      <c r="I299" s="22">
        <f t="shared" si="11"/>
        <v>36.92455034482758</v>
      </c>
    </row>
    <row r="300" spans="2:9" x14ac:dyDescent="0.2">
      <c r="B300" s="192">
        <f t="shared" ref="B300:B363" si="12">IFERROR(IF(Yearending&gt;B299, B299+1, ""),"")</f>
        <v>45731</v>
      </c>
      <c r="C300" s="315">
        <v>79.517240000000001</v>
      </c>
      <c r="D300" s="315">
        <v>62.017241379310342</v>
      </c>
      <c r="E300" s="315">
        <v>92.493137931034482</v>
      </c>
      <c r="F300" s="315">
        <v>314.00024137931035</v>
      </c>
      <c r="G300" s="22">
        <f t="shared" ref="G300:G363" si="13">IFERROR(IF(Yearending&gt;B299,F300-E300,""),"")</f>
        <v>221.50710344827587</v>
      </c>
      <c r="H300" s="22">
        <f>IFERROR(IF(Yearending&gt;B299,'5. Historical demand'!F300-'5. Historical demand'!C300-'5. Historical demand'!D300,""),"")</f>
        <v>172.46575999999999</v>
      </c>
      <c r="I300" s="22">
        <f t="shared" ref="I300:I363" si="14">IFERROR(IF(Yearending&gt;B299,C300+D300-E300,""),"")</f>
        <v>49.041343448275853</v>
      </c>
    </row>
    <row r="301" spans="2:9" x14ac:dyDescent="0.2">
      <c r="B301" s="192">
        <f t="shared" si="12"/>
        <v>45732</v>
      </c>
      <c r="C301" s="315">
        <v>79.517240000000001</v>
      </c>
      <c r="D301" s="315">
        <v>62.017241379310342</v>
      </c>
      <c r="E301" s="315">
        <v>87.47237931034482</v>
      </c>
      <c r="F301" s="315">
        <v>314.00024137931035</v>
      </c>
      <c r="G301" s="22">
        <f t="shared" si="13"/>
        <v>226.52786206896553</v>
      </c>
      <c r="H301" s="22">
        <f>IFERROR(IF(Yearending&gt;B300,'5. Historical demand'!F301-'5. Historical demand'!C301-'5. Historical demand'!D301,""),"")</f>
        <v>172.46575999999999</v>
      </c>
      <c r="I301" s="22">
        <f t="shared" si="14"/>
        <v>54.062102068965515</v>
      </c>
    </row>
    <row r="302" spans="2:9" x14ac:dyDescent="0.2">
      <c r="B302" s="192">
        <f t="shared" si="12"/>
        <v>45733</v>
      </c>
      <c r="C302" s="315">
        <v>79.517240000000001</v>
      </c>
      <c r="D302" s="315">
        <v>62.017241379310342</v>
      </c>
      <c r="E302" s="315">
        <v>56.074931034482759</v>
      </c>
      <c r="F302" s="315">
        <v>314.00024137931035</v>
      </c>
      <c r="G302" s="22">
        <f t="shared" si="13"/>
        <v>257.92531034482761</v>
      </c>
      <c r="H302" s="22">
        <f>IFERROR(IF(Yearending&gt;B301,'5. Historical demand'!F302-'5. Historical demand'!C302-'5. Historical demand'!D302,""),"")</f>
        <v>172.46575999999999</v>
      </c>
      <c r="I302" s="22">
        <f t="shared" si="14"/>
        <v>85.459550344827576</v>
      </c>
    </row>
    <row r="303" spans="2:9" x14ac:dyDescent="0.2">
      <c r="B303" s="192">
        <f t="shared" si="12"/>
        <v>45734</v>
      </c>
      <c r="C303" s="315">
        <v>79.517240000000001</v>
      </c>
      <c r="D303" s="315">
        <v>62.017241379310342</v>
      </c>
      <c r="E303" s="315">
        <v>80.031241379310345</v>
      </c>
      <c r="F303" s="315">
        <v>314.00024137931035</v>
      </c>
      <c r="G303" s="22">
        <f t="shared" si="13"/>
        <v>233.96899999999999</v>
      </c>
      <c r="H303" s="22">
        <f>IFERROR(IF(Yearending&gt;B302,'5. Historical demand'!F303-'5. Historical demand'!C303-'5. Historical demand'!D303,""),"")</f>
        <v>172.46575999999999</v>
      </c>
      <c r="I303" s="22">
        <f t="shared" si="14"/>
        <v>61.503239999999991</v>
      </c>
    </row>
    <row r="304" spans="2:9" x14ac:dyDescent="0.2">
      <c r="B304" s="192">
        <f t="shared" si="12"/>
        <v>45735</v>
      </c>
      <c r="C304" s="315">
        <v>79.517240000000001</v>
      </c>
      <c r="D304" s="315">
        <v>62.017241379310342</v>
      </c>
      <c r="E304" s="315">
        <v>91.8343103448276</v>
      </c>
      <c r="F304" s="315">
        <v>314.00024137931035</v>
      </c>
      <c r="G304" s="22">
        <f t="shared" si="13"/>
        <v>222.16593103448275</v>
      </c>
      <c r="H304" s="22">
        <f>IFERROR(IF(Yearending&gt;B303,'5. Historical demand'!F304-'5. Historical demand'!C304-'5. Historical demand'!D304,""),"")</f>
        <v>172.46575999999999</v>
      </c>
      <c r="I304" s="22">
        <f t="shared" si="14"/>
        <v>49.700171034482736</v>
      </c>
    </row>
    <row r="305" spans="2:9" x14ac:dyDescent="0.2">
      <c r="B305" s="192">
        <f t="shared" si="12"/>
        <v>45736</v>
      </c>
      <c r="C305" s="315">
        <v>79.517240000000001</v>
      </c>
      <c r="D305" s="315">
        <v>62.017241379310342</v>
      </c>
      <c r="E305" s="315">
        <v>80.238586206896557</v>
      </c>
      <c r="F305" s="315">
        <v>314.00024137931035</v>
      </c>
      <c r="G305" s="22">
        <f t="shared" si="13"/>
        <v>233.76165517241378</v>
      </c>
      <c r="H305" s="22">
        <f>IFERROR(IF(Yearending&gt;B304,'5. Historical demand'!F305-'5. Historical demand'!C305-'5. Historical demand'!D305,""),"")</f>
        <v>172.46575999999999</v>
      </c>
      <c r="I305" s="22">
        <f t="shared" si="14"/>
        <v>61.295895172413779</v>
      </c>
    </row>
    <row r="306" spans="2:9" x14ac:dyDescent="0.2">
      <c r="B306" s="192">
        <f t="shared" si="12"/>
        <v>45737</v>
      </c>
      <c r="C306" s="315">
        <v>79.517240000000001</v>
      </c>
      <c r="D306" s="315">
        <v>62.017241379310342</v>
      </c>
      <c r="E306" s="315">
        <v>79.13900000000001</v>
      </c>
      <c r="F306" s="315">
        <v>314.00024137931035</v>
      </c>
      <c r="G306" s="22">
        <f t="shared" si="13"/>
        <v>234.86124137931034</v>
      </c>
      <c r="H306" s="22">
        <f>IFERROR(IF(Yearending&gt;B305,'5. Historical demand'!F306-'5. Historical demand'!C306-'5. Historical demand'!D306,""),"")</f>
        <v>172.46575999999999</v>
      </c>
      <c r="I306" s="22">
        <f t="shared" si="14"/>
        <v>62.395481379310326</v>
      </c>
    </row>
    <row r="307" spans="2:9" x14ac:dyDescent="0.2">
      <c r="B307" s="192">
        <f t="shared" si="12"/>
        <v>45738</v>
      </c>
      <c r="C307" s="315">
        <v>79.517240000000001</v>
      </c>
      <c r="D307" s="315">
        <v>62.017241379310342</v>
      </c>
      <c r="E307" s="315">
        <v>63.463862068965518</v>
      </c>
      <c r="F307" s="315">
        <v>314.00024137931035</v>
      </c>
      <c r="G307" s="22">
        <f t="shared" si="13"/>
        <v>250.53637931034484</v>
      </c>
      <c r="H307" s="22">
        <f>IFERROR(IF(Yearending&gt;B306,'5. Historical demand'!F307-'5. Historical demand'!C307-'5. Historical demand'!D307,""),"")</f>
        <v>172.46575999999999</v>
      </c>
      <c r="I307" s="22">
        <f t="shared" si="14"/>
        <v>78.070619310344824</v>
      </c>
    </row>
    <row r="308" spans="2:9" x14ac:dyDescent="0.2">
      <c r="B308" s="192">
        <f t="shared" si="12"/>
        <v>45739</v>
      </c>
      <c r="C308" s="315">
        <v>79.517240000000001</v>
      </c>
      <c r="D308" s="315">
        <v>62.017241379310342</v>
      </c>
      <c r="E308" s="315">
        <v>49.579827586206903</v>
      </c>
      <c r="F308" s="315">
        <v>314.00024137931035</v>
      </c>
      <c r="G308" s="22">
        <f t="shared" si="13"/>
        <v>264.42041379310342</v>
      </c>
      <c r="H308" s="22">
        <f>IFERROR(IF(Yearending&gt;B307,'5. Historical demand'!F308-'5. Historical demand'!C308-'5. Historical demand'!D308,""),"")</f>
        <v>172.46575999999999</v>
      </c>
      <c r="I308" s="22">
        <f t="shared" si="14"/>
        <v>91.954653793103432</v>
      </c>
    </row>
    <row r="309" spans="2:9" x14ac:dyDescent="0.2">
      <c r="B309" s="192">
        <f t="shared" si="12"/>
        <v>45740</v>
      </c>
      <c r="C309" s="315">
        <v>79.517240000000001</v>
      </c>
      <c r="D309" s="315">
        <v>62.017241379310342</v>
      </c>
      <c r="E309" s="315">
        <v>71.251482758620696</v>
      </c>
      <c r="F309" s="315">
        <v>314.00024137931035</v>
      </c>
      <c r="G309" s="22">
        <f t="shared" si="13"/>
        <v>242.74875862068967</v>
      </c>
      <c r="H309" s="22">
        <f>IFERROR(IF(Yearending&gt;B308,'5. Historical demand'!F309-'5. Historical demand'!C309-'5. Historical demand'!D309,""),"")</f>
        <v>172.46575999999999</v>
      </c>
      <c r="I309" s="22">
        <f t="shared" si="14"/>
        <v>70.282998620689639</v>
      </c>
    </row>
    <row r="310" spans="2:9" x14ac:dyDescent="0.2">
      <c r="B310" s="192">
        <f t="shared" si="12"/>
        <v>45741</v>
      </c>
      <c r="C310" s="315">
        <v>79.517240000000001</v>
      </c>
      <c r="D310" s="315">
        <v>62.017241379310342</v>
      </c>
      <c r="E310" s="315">
        <v>54.39734482758621</v>
      </c>
      <c r="F310" s="315">
        <v>314.00024137931035</v>
      </c>
      <c r="G310" s="22">
        <f t="shared" si="13"/>
        <v>259.60289655172414</v>
      </c>
      <c r="H310" s="22">
        <f>IFERROR(IF(Yearending&gt;B309,'5. Historical demand'!F310-'5. Historical demand'!C310-'5. Historical demand'!D310,""),"")</f>
        <v>172.46575999999999</v>
      </c>
      <c r="I310" s="22">
        <f t="shared" si="14"/>
        <v>87.137136551724126</v>
      </c>
    </row>
    <row r="311" spans="2:9" x14ac:dyDescent="0.2">
      <c r="B311" s="192">
        <f t="shared" si="12"/>
        <v>45742</v>
      </c>
      <c r="C311" s="315">
        <v>79.517240000000001</v>
      </c>
      <c r="D311" s="315">
        <v>62.017241379310342</v>
      </c>
      <c r="E311" s="315">
        <v>58.516896551724138</v>
      </c>
      <c r="F311" s="315">
        <v>314.00024137931035</v>
      </c>
      <c r="G311" s="22">
        <f t="shared" si="13"/>
        <v>255.48334482758622</v>
      </c>
      <c r="H311" s="22">
        <f>IFERROR(IF(Yearending&gt;B310,'5. Historical demand'!F311-'5. Historical demand'!C311-'5. Historical demand'!D311,""),"")</f>
        <v>172.46575999999999</v>
      </c>
      <c r="I311" s="22">
        <f t="shared" si="14"/>
        <v>83.017584827586205</v>
      </c>
    </row>
    <row r="312" spans="2:9" x14ac:dyDescent="0.2">
      <c r="B312" s="192">
        <f t="shared" si="12"/>
        <v>45743</v>
      </c>
      <c r="C312" s="315">
        <v>79.517240000000001</v>
      </c>
      <c r="D312" s="315">
        <v>62.017241379310342</v>
      </c>
      <c r="E312" s="315">
        <v>55.554724137931032</v>
      </c>
      <c r="F312" s="315">
        <v>314.00024137931035</v>
      </c>
      <c r="G312" s="22">
        <f t="shared" si="13"/>
        <v>258.44551724137932</v>
      </c>
      <c r="H312" s="22">
        <f>IFERROR(IF(Yearending&gt;B311,'5. Historical demand'!F312-'5. Historical demand'!C312-'5. Historical demand'!D312,""),"")</f>
        <v>172.46575999999999</v>
      </c>
      <c r="I312" s="22">
        <f t="shared" si="14"/>
        <v>85.979757241379303</v>
      </c>
    </row>
    <row r="313" spans="2:9" x14ac:dyDescent="0.2">
      <c r="B313" s="192">
        <f t="shared" si="12"/>
        <v>45744</v>
      </c>
      <c r="C313" s="315">
        <v>79.517240000000001</v>
      </c>
      <c r="D313" s="315">
        <v>62.017241379310342</v>
      </c>
      <c r="E313" s="315">
        <v>80.305034482758629</v>
      </c>
      <c r="F313" s="315">
        <v>314.00024137931035</v>
      </c>
      <c r="G313" s="22">
        <f t="shared" si="13"/>
        <v>233.69520689655172</v>
      </c>
      <c r="H313" s="22">
        <f>IFERROR(IF(Yearending&gt;B312,'5. Historical demand'!F313-'5. Historical demand'!C313-'5. Historical demand'!D313,""),"")</f>
        <v>172.46575999999999</v>
      </c>
      <c r="I313" s="22">
        <f t="shared" si="14"/>
        <v>61.229446896551707</v>
      </c>
    </row>
    <row r="314" spans="2:9" x14ac:dyDescent="0.2">
      <c r="B314" s="192">
        <f t="shared" si="12"/>
        <v>45745</v>
      </c>
      <c r="C314" s="315">
        <v>79.517240000000001</v>
      </c>
      <c r="D314" s="315">
        <v>62.017241379310342</v>
      </c>
      <c r="E314" s="315">
        <v>78.562896551724123</v>
      </c>
      <c r="F314" s="315">
        <v>314.00024137931035</v>
      </c>
      <c r="G314" s="22">
        <f t="shared" si="13"/>
        <v>235.43734482758623</v>
      </c>
      <c r="H314" s="22">
        <f>IFERROR(IF(Yearending&gt;B313,'5. Historical demand'!F314-'5. Historical demand'!C314-'5. Historical demand'!D314,""),"")</f>
        <v>172.46575999999999</v>
      </c>
      <c r="I314" s="22">
        <f t="shared" si="14"/>
        <v>62.971584827586213</v>
      </c>
    </row>
    <row r="315" spans="2:9" x14ac:dyDescent="0.2">
      <c r="B315" s="192">
        <f t="shared" si="12"/>
        <v>45746</v>
      </c>
      <c r="C315" s="315">
        <v>79.517240000000001</v>
      </c>
      <c r="D315" s="315">
        <v>62.017241379310342</v>
      </c>
      <c r="E315" s="315">
        <v>56.646827586206896</v>
      </c>
      <c r="F315" s="315">
        <v>314.00024137931035</v>
      </c>
      <c r="G315" s="22">
        <f t="shared" si="13"/>
        <v>257.35341379310347</v>
      </c>
      <c r="H315" s="22">
        <f>IFERROR(IF(Yearending&gt;B314,'5. Historical demand'!F315-'5. Historical demand'!C315-'5. Historical demand'!D315,""),"")</f>
        <v>172.46575999999999</v>
      </c>
      <c r="I315" s="22">
        <f t="shared" si="14"/>
        <v>84.887653793103439</v>
      </c>
    </row>
    <row r="316" spans="2:9" x14ac:dyDescent="0.2">
      <c r="B316" s="192">
        <f t="shared" si="12"/>
        <v>45747</v>
      </c>
      <c r="C316" s="315">
        <v>79.517240000000001</v>
      </c>
      <c r="D316" s="315">
        <v>62.017241379310342</v>
      </c>
      <c r="E316" s="315">
        <v>71.045172413793111</v>
      </c>
      <c r="F316" s="315">
        <v>314.00024137931035</v>
      </c>
      <c r="G316" s="22">
        <f t="shared" si="13"/>
        <v>242.95506896551723</v>
      </c>
      <c r="H316" s="22">
        <f>IFERROR(IF(Yearending&gt;B315,'5. Historical demand'!F316-'5. Historical demand'!C316-'5. Historical demand'!D316,""),"")</f>
        <v>172.46575999999999</v>
      </c>
      <c r="I316" s="22">
        <f t="shared" si="14"/>
        <v>70.489308965517225</v>
      </c>
    </row>
    <row r="317" spans="2:9" x14ac:dyDescent="0.2">
      <c r="B317" s="192">
        <f t="shared" si="12"/>
        <v>45748</v>
      </c>
      <c r="C317" s="315">
        <v>79.517240000000001</v>
      </c>
      <c r="D317" s="315">
        <v>62.017241379310342</v>
      </c>
      <c r="E317" s="315">
        <v>95.163620689655176</v>
      </c>
      <c r="F317" s="315">
        <v>314.00024137931035</v>
      </c>
      <c r="G317" s="22">
        <f t="shared" si="13"/>
        <v>218.83662068965518</v>
      </c>
      <c r="H317" s="22">
        <f>IFERROR(IF(Yearending&gt;B316,'5. Historical demand'!F317-'5. Historical demand'!C317-'5. Historical demand'!D317,""),"")</f>
        <v>172.46575999999999</v>
      </c>
      <c r="I317" s="22">
        <f t="shared" si="14"/>
        <v>46.37086068965516</v>
      </c>
    </row>
    <row r="318" spans="2:9" x14ac:dyDescent="0.2">
      <c r="B318" s="192">
        <f t="shared" si="12"/>
        <v>45749</v>
      </c>
      <c r="C318" s="315">
        <v>79.517240000000001</v>
      </c>
      <c r="D318" s="315">
        <v>62.017241379310342</v>
      </c>
      <c r="E318" s="315">
        <v>87.240758620689661</v>
      </c>
      <c r="F318" s="315">
        <v>314.00024137931035</v>
      </c>
      <c r="G318" s="22">
        <f t="shared" si="13"/>
        <v>226.75948275862069</v>
      </c>
      <c r="H318" s="22">
        <f>IFERROR(IF(Yearending&gt;B317,'5. Historical demand'!F318-'5. Historical demand'!C318-'5. Historical demand'!D318,""),"")</f>
        <v>172.46575999999999</v>
      </c>
      <c r="I318" s="22">
        <f t="shared" si="14"/>
        <v>54.293722758620675</v>
      </c>
    </row>
    <row r="319" spans="2:9" x14ac:dyDescent="0.2">
      <c r="B319" s="192">
        <f t="shared" si="12"/>
        <v>45750</v>
      </c>
      <c r="C319" s="315">
        <v>79.517240000000001</v>
      </c>
      <c r="D319" s="315">
        <v>62.017241379310342</v>
      </c>
      <c r="E319" s="315">
        <v>84.512758620689652</v>
      </c>
      <c r="F319" s="315">
        <v>314.00024137931035</v>
      </c>
      <c r="G319" s="22">
        <f t="shared" si="13"/>
        <v>229.4874827586207</v>
      </c>
      <c r="H319" s="22">
        <f>IFERROR(IF(Yearending&gt;B318,'5. Historical demand'!F319-'5. Historical demand'!C319-'5. Historical demand'!D319,""),"")</f>
        <v>172.46575999999999</v>
      </c>
      <c r="I319" s="22">
        <f t="shared" si="14"/>
        <v>57.021722758620683</v>
      </c>
    </row>
    <row r="320" spans="2:9" x14ac:dyDescent="0.2">
      <c r="B320" s="192">
        <f t="shared" si="12"/>
        <v>45751</v>
      </c>
      <c r="C320" s="315">
        <v>79.517240000000001</v>
      </c>
      <c r="D320" s="315">
        <v>62.017241379310342</v>
      </c>
      <c r="E320" s="315">
        <v>93.521620689655165</v>
      </c>
      <c r="F320" s="315">
        <v>314.00024137931035</v>
      </c>
      <c r="G320" s="22">
        <f t="shared" si="13"/>
        <v>220.4786206896552</v>
      </c>
      <c r="H320" s="22">
        <f>IFERROR(IF(Yearending&gt;B319,'5. Historical demand'!F320-'5. Historical demand'!C320-'5. Historical demand'!D320,""),"")</f>
        <v>172.46575999999999</v>
      </c>
      <c r="I320" s="22">
        <f t="shared" si="14"/>
        <v>48.01286068965517</v>
      </c>
    </row>
    <row r="321" spans="2:9" x14ac:dyDescent="0.2">
      <c r="B321" s="192">
        <f t="shared" si="12"/>
        <v>45752</v>
      </c>
      <c r="C321" s="315">
        <v>79.517240000000001</v>
      </c>
      <c r="D321" s="315">
        <v>62.017241379310342</v>
      </c>
      <c r="E321" s="315">
        <v>95.551448275862072</v>
      </c>
      <c r="F321" s="315">
        <v>314.00024137931035</v>
      </c>
      <c r="G321" s="22">
        <f t="shared" si="13"/>
        <v>218.44879310344828</v>
      </c>
      <c r="H321" s="22">
        <f>IFERROR(IF(Yearending&gt;B320,'5. Historical demand'!F321-'5. Historical demand'!C321-'5. Historical demand'!D321,""),"")</f>
        <v>172.46575999999999</v>
      </c>
      <c r="I321" s="22">
        <f t="shared" si="14"/>
        <v>45.983033103448264</v>
      </c>
    </row>
    <row r="322" spans="2:9" x14ac:dyDescent="0.2">
      <c r="B322" s="192">
        <f t="shared" si="12"/>
        <v>45753</v>
      </c>
      <c r="C322" s="315">
        <v>79.517240000000001</v>
      </c>
      <c r="D322" s="315">
        <v>62.017241379310342</v>
      </c>
      <c r="E322" s="315">
        <v>86.544758620689663</v>
      </c>
      <c r="F322" s="315">
        <v>314.00024137931035</v>
      </c>
      <c r="G322" s="22">
        <f t="shared" si="13"/>
        <v>227.45548275862069</v>
      </c>
      <c r="H322" s="22">
        <f>IFERROR(IF(Yearending&gt;B321,'5. Historical demand'!F322-'5. Historical demand'!C322-'5. Historical demand'!D322,""),"")</f>
        <v>172.46575999999999</v>
      </c>
      <c r="I322" s="22">
        <f t="shared" si="14"/>
        <v>54.989722758620672</v>
      </c>
    </row>
    <row r="323" spans="2:9" x14ac:dyDescent="0.2">
      <c r="B323" s="192">
        <f t="shared" si="12"/>
        <v>45754</v>
      </c>
      <c r="C323" s="315">
        <v>79.517240000000001</v>
      </c>
      <c r="D323" s="315">
        <v>62.017241379310342</v>
      </c>
      <c r="E323" s="315">
        <v>105.542</v>
      </c>
      <c r="F323" s="315">
        <v>314.00024137931035</v>
      </c>
      <c r="G323" s="22">
        <f t="shared" si="13"/>
        <v>208.45824137931035</v>
      </c>
      <c r="H323" s="22">
        <f>IFERROR(IF(Yearending&gt;B322,'5. Historical demand'!F323-'5. Historical demand'!C323-'5. Historical demand'!D323,""),"")</f>
        <v>172.46575999999999</v>
      </c>
      <c r="I323" s="22">
        <f t="shared" si="14"/>
        <v>35.992481379310334</v>
      </c>
    </row>
    <row r="324" spans="2:9" x14ac:dyDescent="0.2">
      <c r="B324" s="192">
        <f t="shared" si="12"/>
        <v>45755</v>
      </c>
      <c r="C324" s="315">
        <v>79.517240000000001</v>
      </c>
      <c r="D324" s="315">
        <v>62.017241379310342</v>
      </c>
      <c r="E324" s="315">
        <v>110.56120689655174</v>
      </c>
      <c r="F324" s="315">
        <v>314.00024137931035</v>
      </c>
      <c r="G324" s="22">
        <f t="shared" si="13"/>
        <v>203.43903448275861</v>
      </c>
      <c r="H324" s="22">
        <f>IFERROR(IF(Yearending&gt;B323,'5. Historical demand'!F324-'5. Historical demand'!C324-'5. Historical demand'!D324,""),"")</f>
        <v>172.46575999999999</v>
      </c>
      <c r="I324" s="22">
        <f t="shared" si="14"/>
        <v>30.973274482758598</v>
      </c>
    </row>
    <row r="325" spans="2:9" x14ac:dyDescent="0.2">
      <c r="B325" s="192">
        <f t="shared" si="12"/>
        <v>45756</v>
      </c>
      <c r="C325" s="315">
        <v>79.517240000000001</v>
      </c>
      <c r="D325" s="315">
        <v>62.017241379310342</v>
      </c>
      <c r="E325" s="315">
        <v>118.15520689655173</v>
      </c>
      <c r="F325" s="315">
        <v>314.00024137931035</v>
      </c>
      <c r="G325" s="22">
        <f t="shared" si="13"/>
        <v>195.84503448275862</v>
      </c>
      <c r="H325" s="22">
        <f>IFERROR(IF(Yearending&gt;B324,'5. Historical demand'!F325-'5. Historical demand'!C325-'5. Historical demand'!D325,""),"")</f>
        <v>172.46575999999999</v>
      </c>
      <c r="I325" s="22">
        <f t="shared" si="14"/>
        <v>23.379274482758603</v>
      </c>
    </row>
    <row r="326" spans="2:9" x14ac:dyDescent="0.2">
      <c r="B326" s="192">
        <f t="shared" si="12"/>
        <v>45757</v>
      </c>
      <c r="C326" s="315">
        <v>79.517240000000001</v>
      </c>
      <c r="D326" s="315">
        <v>62.017241379310342</v>
      </c>
      <c r="E326" s="315">
        <v>119.03713793103447</v>
      </c>
      <c r="F326" s="315">
        <v>314.00024137931035</v>
      </c>
      <c r="G326" s="22">
        <f t="shared" si="13"/>
        <v>194.96310344827589</v>
      </c>
      <c r="H326" s="22">
        <f>IFERROR(IF(Yearending&gt;B325,'5. Historical demand'!F326-'5. Historical demand'!C326-'5. Historical demand'!D326,""),"")</f>
        <v>172.46575999999999</v>
      </c>
      <c r="I326" s="22">
        <f t="shared" si="14"/>
        <v>22.497343448275871</v>
      </c>
    </row>
    <row r="327" spans="2:9" x14ac:dyDescent="0.2">
      <c r="B327" s="192">
        <f t="shared" si="12"/>
        <v>45758</v>
      </c>
      <c r="C327" s="315">
        <v>79.517240000000001</v>
      </c>
      <c r="D327" s="315">
        <v>62.017241379310342</v>
      </c>
      <c r="E327" s="315">
        <v>91.109586206896552</v>
      </c>
      <c r="F327" s="315">
        <v>314.00024137931035</v>
      </c>
      <c r="G327" s="22">
        <f t="shared" si="13"/>
        <v>222.8906551724138</v>
      </c>
      <c r="H327" s="22">
        <f>IFERROR(IF(Yearending&gt;B326,'5. Historical demand'!F327-'5. Historical demand'!C327-'5. Historical demand'!D327,""),"")</f>
        <v>172.46575999999999</v>
      </c>
      <c r="I327" s="22">
        <f t="shared" si="14"/>
        <v>50.424895172413784</v>
      </c>
    </row>
    <row r="328" spans="2:9" x14ac:dyDescent="0.2">
      <c r="B328" s="192">
        <f t="shared" si="12"/>
        <v>45759</v>
      </c>
      <c r="C328" s="315">
        <v>79.517240000000001</v>
      </c>
      <c r="D328" s="315">
        <v>62.017241379310342</v>
      </c>
      <c r="E328" s="315">
        <v>92.456827586206899</v>
      </c>
      <c r="F328" s="315">
        <v>314.00024137931035</v>
      </c>
      <c r="G328" s="22">
        <f t="shared" si="13"/>
        <v>221.54341379310347</v>
      </c>
      <c r="H328" s="22">
        <f>IFERROR(IF(Yearending&gt;B327,'5. Historical demand'!F328-'5. Historical demand'!C328-'5. Historical demand'!D328,""),"")</f>
        <v>172.46575999999999</v>
      </c>
      <c r="I328" s="22">
        <f t="shared" si="14"/>
        <v>49.077653793103437</v>
      </c>
    </row>
    <row r="329" spans="2:9" x14ac:dyDescent="0.2">
      <c r="B329" s="192">
        <f t="shared" si="12"/>
        <v>45760</v>
      </c>
      <c r="C329" s="315">
        <v>79.517240000000001</v>
      </c>
      <c r="D329" s="315">
        <v>62.017241379310342</v>
      </c>
      <c r="E329" s="315">
        <v>103.7575172413793</v>
      </c>
      <c r="F329" s="315">
        <v>314.00024137931035</v>
      </c>
      <c r="G329" s="22">
        <f t="shared" si="13"/>
        <v>210.24272413793105</v>
      </c>
      <c r="H329" s="22">
        <f>IFERROR(IF(Yearending&gt;B328,'5. Historical demand'!F329-'5. Historical demand'!C329-'5. Historical demand'!D329,""),"")</f>
        <v>172.46575999999999</v>
      </c>
      <c r="I329" s="22">
        <f t="shared" si="14"/>
        <v>37.776964137931031</v>
      </c>
    </row>
    <row r="330" spans="2:9" x14ac:dyDescent="0.2">
      <c r="B330" s="192">
        <f t="shared" si="12"/>
        <v>45761</v>
      </c>
      <c r="C330" s="315">
        <v>79.517240000000001</v>
      </c>
      <c r="D330" s="315">
        <v>62.017241379310342</v>
      </c>
      <c r="E330" s="315">
        <v>111.16541379310344</v>
      </c>
      <c r="F330" s="315">
        <v>314.00024137931035</v>
      </c>
      <c r="G330" s="22">
        <f t="shared" si="13"/>
        <v>202.83482758620693</v>
      </c>
      <c r="H330" s="22">
        <f>IFERROR(IF(Yearending&gt;B329,'5. Historical demand'!F330-'5. Historical demand'!C330-'5. Historical demand'!D330,""),"")</f>
        <v>172.46575999999999</v>
      </c>
      <c r="I330" s="22">
        <f t="shared" si="14"/>
        <v>30.369067586206896</v>
      </c>
    </row>
    <row r="331" spans="2:9" x14ac:dyDescent="0.2">
      <c r="B331" s="192">
        <f t="shared" si="12"/>
        <v>45762</v>
      </c>
      <c r="C331" s="315">
        <v>79.517240000000001</v>
      </c>
      <c r="D331" s="315">
        <v>62.017241379310342</v>
      </c>
      <c r="E331" s="315">
        <v>118.47096551724138</v>
      </c>
      <c r="F331" s="315">
        <v>314.00024137931035</v>
      </c>
      <c r="G331" s="22">
        <f t="shared" si="13"/>
        <v>195.52927586206897</v>
      </c>
      <c r="H331" s="22">
        <f>IFERROR(IF(Yearending&gt;B330,'5. Historical demand'!F331-'5. Historical demand'!C331-'5. Historical demand'!D331,""),"")</f>
        <v>172.46575999999999</v>
      </c>
      <c r="I331" s="22">
        <f t="shared" si="14"/>
        <v>23.063515862068954</v>
      </c>
    </row>
    <row r="332" spans="2:9" x14ac:dyDescent="0.2">
      <c r="B332" s="192">
        <f t="shared" si="12"/>
        <v>45763</v>
      </c>
      <c r="C332" s="315">
        <v>79.517240000000001</v>
      </c>
      <c r="D332" s="315">
        <v>62.017241379310342</v>
      </c>
      <c r="E332" s="315">
        <v>113.90079310344828</v>
      </c>
      <c r="F332" s="315">
        <v>314.00024137931035</v>
      </c>
      <c r="G332" s="22">
        <f t="shared" si="13"/>
        <v>200.09944827586207</v>
      </c>
      <c r="H332" s="22">
        <f>IFERROR(IF(Yearending&gt;B331,'5. Historical demand'!F332-'5. Historical demand'!C332-'5. Historical demand'!D332,""),"")</f>
        <v>172.46575999999999</v>
      </c>
      <c r="I332" s="22">
        <f t="shared" si="14"/>
        <v>27.633688275862056</v>
      </c>
    </row>
    <row r="333" spans="2:9" x14ac:dyDescent="0.2">
      <c r="B333" s="192">
        <f t="shared" si="12"/>
        <v>45764</v>
      </c>
      <c r="C333" s="315">
        <v>79.517240000000001</v>
      </c>
      <c r="D333" s="315">
        <v>62.017241379310342</v>
      </c>
      <c r="E333" s="315">
        <v>77.793827586206902</v>
      </c>
      <c r="F333" s="315">
        <v>314.00024137931035</v>
      </c>
      <c r="G333" s="22">
        <f t="shared" si="13"/>
        <v>236.20641379310345</v>
      </c>
      <c r="H333" s="22">
        <f>IFERROR(IF(Yearending&gt;B332,'5. Historical demand'!F333-'5. Historical demand'!C333-'5. Historical demand'!D333,""),"")</f>
        <v>172.46575999999999</v>
      </c>
      <c r="I333" s="22">
        <f t="shared" si="14"/>
        <v>63.740653793103434</v>
      </c>
    </row>
    <row r="334" spans="2:9" x14ac:dyDescent="0.2">
      <c r="B334" s="192">
        <f t="shared" si="12"/>
        <v>45765</v>
      </c>
      <c r="C334" s="315">
        <v>79.517240000000001</v>
      </c>
      <c r="D334" s="315">
        <v>62.017241379310342</v>
      </c>
      <c r="E334" s="315">
        <v>89.497137931034487</v>
      </c>
      <c r="F334" s="315">
        <v>314.00024137931035</v>
      </c>
      <c r="G334" s="22">
        <f t="shared" si="13"/>
        <v>224.50310344827585</v>
      </c>
      <c r="H334" s="22">
        <f>IFERROR(IF(Yearending&gt;B333,'5. Historical demand'!F334-'5. Historical demand'!C334-'5. Historical demand'!D334,""),"")</f>
        <v>172.46575999999999</v>
      </c>
      <c r="I334" s="22">
        <f t="shared" si="14"/>
        <v>52.037343448275848</v>
      </c>
    </row>
    <row r="335" spans="2:9" x14ac:dyDescent="0.2">
      <c r="B335" s="192">
        <f t="shared" si="12"/>
        <v>45766</v>
      </c>
      <c r="C335" s="315">
        <v>79.517240000000001</v>
      </c>
      <c r="D335" s="315">
        <v>62.017241379310342</v>
      </c>
      <c r="E335" s="315">
        <v>74.143517241379314</v>
      </c>
      <c r="F335" s="315">
        <v>314.00024137931035</v>
      </c>
      <c r="G335" s="22">
        <f t="shared" si="13"/>
        <v>239.85672413793105</v>
      </c>
      <c r="H335" s="22">
        <f>IFERROR(IF(Yearending&gt;B334,'5. Historical demand'!F335-'5. Historical demand'!C335-'5. Historical demand'!D335,""),"")</f>
        <v>172.46575999999999</v>
      </c>
      <c r="I335" s="22">
        <f t="shared" si="14"/>
        <v>67.390964137931022</v>
      </c>
    </row>
    <row r="336" spans="2:9" x14ac:dyDescent="0.2">
      <c r="B336" s="192">
        <f t="shared" si="12"/>
        <v>45767</v>
      </c>
      <c r="C336" s="315">
        <v>79.517240000000001</v>
      </c>
      <c r="D336" s="315">
        <v>62.017241379310342</v>
      </c>
      <c r="E336" s="315">
        <v>70.123275862068965</v>
      </c>
      <c r="F336" s="315">
        <v>314.00024137931035</v>
      </c>
      <c r="G336" s="22">
        <f t="shared" si="13"/>
        <v>243.87696551724139</v>
      </c>
      <c r="H336" s="22">
        <f>IFERROR(IF(Yearending&gt;B335,'5. Historical demand'!F336-'5. Historical demand'!C336-'5. Historical demand'!D336,""),"")</f>
        <v>172.46575999999999</v>
      </c>
      <c r="I336" s="22">
        <f t="shared" si="14"/>
        <v>71.41120551724137</v>
      </c>
    </row>
    <row r="337" spans="2:9" x14ac:dyDescent="0.2">
      <c r="B337" s="192">
        <f t="shared" si="12"/>
        <v>45768</v>
      </c>
      <c r="C337" s="315">
        <v>79.517240000000001</v>
      </c>
      <c r="D337" s="315">
        <v>62.017241379310342</v>
      </c>
      <c r="E337" s="315">
        <v>80.88000000000001</v>
      </c>
      <c r="F337" s="315">
        <v>314.00024137931035</v>
      </c>
      <c r="G337" s="22">
        <f t="shared" si="13"/>
        <v>233.12024137931036</v>
      </c>
      <c r="H337" s="22">
        <f>IFERROR(IF(Yearending&gt;B336,'5. Historical demand'!F337-'5. Historical demand'!C337-'5. Historical demand'!D337,""),"")</f>
        <v>172.46575999999999</v>
      </c>
      <c r="I337" s="22">
        <f t="shared" si="14"/>
        <v>60.654481379310326</v>
      </c>
    </row>
    <row r="338" spans="2:9" x14ac:dyDescent="0.2">
      <c r="B338" s="192">
        <f t="shared" si="12"/>
        <v>45769</v>
      </c>
      <c r="C338" s="315">
        <v>79.517240000000001</v>
      </c>
      <c r="D338" s="315">
        <v>62.017241379310342</v>
      </c>
      <c r="E338" s="315">
        <v>87.977103448275869</v>
      </c>
      <c r="F338" s="315">
        <v>314.00024137931035</v>
      </c>
      <c r="G338" s="22">
        <f t="shared" si="13"/>
        <v>226.02313793103448</v>
      </c>
      <c r="H338" s="22">
        <f>IFERROR(IF(Yearending&gt;B337,'5. Historical demand'!F338-'5. Historical demand'!C338-'5. Historical demand'!D338,""),"")</f>
        <v>172.46575999999999</v>
      </c>
      <c r="I338" s="22">
        <f t="shared" si="14"/>
        <v>53.557377931034466</v>
      </c>
    </row>
    <row r="339" spans="2:9" x14ac:dyDescent="0.2">
      <c r="B339" s="192">
        <f t="shared" si="12"/>
        <v>45770</v>
      </c>
      <c r="C339" s="315">
        <v>79.517240000000001</v>
      </c>
      <c r="D339" s="315">
        <v>62.017241379310342</v>
      </c>
      <c r="E339" s="315">
        <v>84.75110344827587</v>
      </c>
      <c r="F339" s="315">
        <v>314.00024137931035</v>
      </c>
      <c r="G339" s="22">
        <f t="shared" si="13"/>
        <v>229.24913793103448</v>
      </c>
      <c r="H339" s="22">
        <f>IFERROR(IF(Yearending&gt;B338,'5. Historical demand'!F339-'5. Historical demand'!C339-'5. Historical demand'!D339,""),"")</f>
        <v>172.46575999999999</v>
      </c>
      <c r="I339" s="22">
        <f t="shared" si="14"/>
        <v>56.783377931034465</v>
      </c>
    </row>
    <row r="340" spans="2:9" x14ac:dyDescent="0.2">
      <c r="B340" s="192">
        <f t="shared" si="12"/>
        <v>45771</v>
      </c>
      <c r="C340" s="315">
        <v>79.517240000000001</v>
      </c>
      <c r="D340" s="315">
        <v>62.017241379310342</v>
      </c>
      <c r="E340" s="315">
        <v>108.19806896551725</v>
      </c>
      <c r="F340" s="315">
        <v>314.00024137931035</v>
      </c>
      <c r="G340" s="22">
        <f t="shared" si="13"/>
        <v>205.8021724137931</v>
      </c>
      <c r="H340" s="22">
        <f>IFERROR(IF(Yearending&gt;B339,'5. Historical demand'!F340-'5. Historical demand'!C340-'5. Historical demand'!D340,""),"")</f>
        <v>172.46575999999999</v>
      </c>
      <c r="I340" s="22">
        <f t="shared" si="14"/>
        <v>33.336412413793084</v>
      </c>
    </row>
    <row r="341" spans="2:9" x14ac:dyDescent="0.2">
      <c r="B341" s="192">
        <f t="shared" si="12"/>
        <v>45772</v>
      </c>
      <c r="C341" s="315">
        <v>79.517240000000001</v>
      </c>
      <c r="D341" s="315">
        <v>62.017241379310342</v>
      </c>
      <c r="E341" s="315">
        <v>103.82289655172414</v>
      </c>
      <c r="F341" s="315">
        <v>314.00024137931035</v>
      </c>
      <c r="G341" s="22">
        <f t="shared" si="13"/>
        <v>210.17734482758621</v>
      </c>
      <c r="H341" s="22">
        <f>IFERROR(IF(Yearending&gt;B340,'5. Historical demand'!F341-'5. Historical demand'!C341-'5. Historical demand'!D341,""),"")</f>
        <v>172.46575999999999</v>
      </c>
      <c r="I341" s="22">
        <f t="shared" si="14"/>
        <v>37.711584827586194</v>
      </c>
    </row>
    <row r="342" spans="2:9" x14ac:dyDescent="0.2">
      <c r="B342" s="192">
        <f t="shared" si="12"/>
        <v>45773</v>
      </c>
      <c r="C342" s="315">
        <v>79.517240000000001</v>
      </c>
      <c r="D342" s="315">
        <v>62.017241379310342</v>
      </c>
      <c r="E342" s="315">
        <v>105.30913793103448</v>
      </c>
      <c r="F342" s="315">
        <v>314.00024137931035</v>
      </c>
      <c r="G342" s="22">
        <f t="shared" si="13"/>
        <v>208.69110344827587</v>
      </c>
      <c r="H342" s="22">
        <f>IFERROR(IF(Yearending&gt;B341,'5. Historical demand'!F342-'5. Historical demand'!C342-'5. Historical demand'!D342,""),"")</f>
        <v>172.46575999999999</v>
      </c>
      <c r="I342" s="22">
        <f t="shared" si="14"/>
        <v>36.225343448275851</v>
      </c>
    </row>
    <row r="343" spans="2:9" x14ac:dyDescent="0.2">
      <c r="B343" s="192">
        <f t="shared" si="12"/>
        <v>45774</v>
      </c>
      <c r="C343" s="315">
        <v>79.517240000000001</v>
      </c>
      <c r="D343" s="315">
        <v>62.017241379310342</v>
      </c>
      <c r="E343" s="315">
        <v>106.92465517241379</v>
      </c>
      <c r="F343" s="315">
        <v>314.00024137931035</v>
      </c>
      <c r="G343" s="22">
        <f t="shared" si="13"/>
        <v>207.07558620689656</v>
      </c>
      <c r="H343" s="22">
        <f>IFERROR(IF(Yearending&gt;B342,'5. Historical demand'!F343-'5. Historical demand'!C343-'5. Historical demand'!D343,""),"")</f>
        <v>172.46575999999999</v>
      </c>
      <c r="I343" s="22">
        <f t="shared" si="14"/>
        <v>34.609826206896543</v>
      </c>
    </row>
    <row r="344" spans="2:9" x14ac:dyDescent="0.2">
      <c r="B344" s="192">
        <f t="shared" si="12"/>
        <v>45775</v>
      </c>
      <c r="C344" s="315">
        <v>79.517240000000001</v>
      </c>
      <c r="D344" s="315">
        <v>62.017241379310342</v>
      </c>
      <c r="E344" s="315">
        <v>111.13775862068965</v>
      </c>
      <c r="F344" s="315">
        <v>314.00024137931035</v>
      </c>
      <c r="G344" s="22">
        <f t="shared" si="13"/>
        <v>202.8624827586207</v>
      </c>
      <c r="H344" s="22">
        <f>IFERROR(IF(Yearending&gt;B343,'5. Historical demand'!F344-'5. Historical demand'!C344-'5. Historical demand'!D344,""),"")</f>
        <v>172.46575999999999</v>
      </c>
      <c r="I344" s="22">
        <f t="shared" si="14"/>
        <v>30.396722758620683</v>
      </c>
    </row>
    <row r="345" spans="2:9" x14ac:dyDescent="0.2">
      <c r="B345" s="192">
        <f t="shared" si="12"/>
        <v>45776</v>
      </c>
      <c r="C345" s="315">
        <v>79.517240000000001</v>
      </c>
      <c r="D345" s="315">
        <v>62.017241379310342</v>
      </c>
      <c r="E345" s="315">
        <v>103.59010344827587</v>
      </c>
      <c r="F345" s="315">
        <v>314.00024137931035</v>
      </c>
      <c r="G345" s="22">
        <f t="shared" si="13"/>
        <v>210.41013793103448</v>
      </c>
      <c r="H345" s="22">
        <f>IFERROR(IF(Yearending&gt;B344,'5. Historical demand'!F345-'5. Historical demand'!C345-'5. Historical demand'!D345,""),"")</f>
        <v>172.46575999999999</v>
      </c>
      <c r="I345" s="22">
        <f t="shared" si="14"/>
        <v>37.944377931034467</v>
      </c>
    </row>
    <row r="346" spans="2:9" x14ac:dyDescent="0.2">
      <c r="B346" s="192">
        <f t="shared" si="12"/>
        <v>45777</v>
      </c>
      <c r="C346" s="315">
        <v>79.517240000000001</v>
      </c>
      <c r="D346" s="315">
        <v>62.017241379310342</v>
      </c>
      <c r="E346" s="315">
        <v>91.256310344827597</v>
      </c>
      <c r="F346" s="315">
        <v>314.00024137931035</v>
      </c>
      <c r="G346" s="22">
        <f t="shared" si="13"/>
        <v>222.74393103448276</v>
      </c>
      <c r="H346" s="22">
        <f>IFERROR(IF(Yearending&gt;B345,'5. Historical demand'!F346-'5. Historical demand'!C346-'5. Historical demand'!D346,""),"")</f>
        <v>172.46575999999999</v>
      </c>
      <c r="I346" s="22">
        <f t="shared" si="14"/>
        <v>50.278171034482739</v>
      </c>
    </row>
    <row r="347" spans="2:9" x14ac:dyDescent="0.2">
      <c r="B347" s="192">
        <f t="shared" si="12"/>
        <v>45778</v>
      </c>
      <c r="C347" s="315">
        <v>79.517240000000001</v>
      </c>
      <c r="D347" s="315">
        <v>62.017241379310342</v>
      </c>
      <c r="E347" s="315">
        <v>91.41241379310344</v>
      </c>
      <c r="F347" s="315">
        <v>314.00024137931035</v>
      </c>
      <c r="G347" s="22">
        <f t="shared" si="13"/>
        <v>222.58782758620691</v>
      </c>
      <c r="H347" s="22">
        <f>IFERROR(IF(Yearending&gt;B346,'5. Historical demand'!F347-'5. Historical demand'!C347-'5. Historical demand'!D347,""),"")</f>
        <v>172.46575999999999</v>
      </c>
      <c r="I347" s="22">
        <f t="shared" si="14"/>
        <v>50.122067586206896</v>
      </c>
    </row>
    <row r="348" spans="2:9" x14ac:dyDescent="0.2">
      <c r="B348" s="192">
        <f t="shared" si="12"/>
        <v>45779</v>
      </c>
      <c r="C348" s="315">
        <v>79.517240000000001</v>
      </c>
      <c r="D348" s="315">
        <v>62.017241379310342</v>
      </c>
      <c r="E348" s="315">
        <v>85.650068965517249</v>
      </c>
      <c r="F348" s="315">
        <v>314.00024137931035</v>
      </c>
      <c r="G348" s="22">
        <f t="shared" si="13"/>
        <v>228.3501724137931</v>
      </c>
      <c r="H348" s="22">
        <f>IFERROR(IF(Yearending&gt;B347,'5. Historical demand'!F348-'5. Historical demand'!C348-'5. Historical demand'!D348,""),"")</f>
        <v>172.46575999999999</v>
      </c>
      <c r="I348" s="22">
        <f t="shared" si="14"/>
        <v>55.884412413793086</v>
      </c>
    </row>
    <row r="349" spans="2:9" x14ac:dyDescent="0.2">
      <c r="B349" s="192">
        <f t="shared" si="12"/>
        <v>45780</v>
      </c>
      <c r="C349" s="315">
        <v>79.517240000000001</v>
      </c>
      <c r="D349" s="315">
        <v>62.017241379310342</v>
      </c>
      <c r="E349" s="315">
        <v>78.495517241379304</v>
      </c>
      <c r="F349" s="315">
        <v>314.00024137931035</v>
      </c>
      <c r="G349" s="22">
        <f t="shared" si="13"/>
        <v>235.50472413793105</v>
      </c>
      <c r="H349" s="22">
        <f>IFERROR(IF(Yearending&gt;B348,'5. Historical demand'!F349-'5. Historical demand'!C349-'5. Historical demand'!D349,""),"")</f>
        <v>172.46575999999999</v>
      </c>
      <c r="I349" s="22">
        <f t="shared" si="14"/>
        <v>63.038964137931032</v>
      </c>
    </row>
    <row r="350" spans="2:9" x14ac:dyDescent="0.2">
      <c r="B350" s="192">
        <f t="shared" si="12"/>
        <v>45781</v>
      </c>
      <c r="C350" s="315">
        <v>79.517240000000001</v>
      </c>
      <c r="D350" s="315">
        <v>62.017241379310342</v>
      </c>
      <c r="E350" s="315">
        <v>85.015655172413787</v>
      </c>
      <c r="F350" s="315">
        <v>314.00024137931035</v>
      </c>
      <c r="G350" s="22">
        <f t="shared" si="13"/>
        <v>228.98458620689655</v>
      </c>
      <c r="H350" s="22">
        <f>IFERROR(IF(Yearending&gt;B349,'5. Historical demand'!F350-'5. Historical demand'!C350-'5. Historical demand'!D350,""),"")</f>
        <v>172.46575999999999</v>
      </c>
      <c r="I350" s="22">
        <f t="shared" si="14"/>
        <v>56.518826206896549</v>
      </c>
    </row>
    <row r="351" spans="2:9" x14ac:dyDescent="0.2">
      <c r="B351" s="192">
        <f t="shared" si="12"/>
        <v>45782</v>
      </c>
      <c r="C351" s="315">
        <v>79.517240000000001</v>
      </c>
      <c r="D351" s="315">
        <v>62.017241379310342</v>
      </c>
      <c r="E351" s="315">
        <v>85.512413793103462</v>
      </c>
      <c r="F351" s="315">
        <v>314.00024137931035</v>
      </c>
      <c r="G351" s="22">
        <f t="shared" si="13"/>
        <v>228.48782758620689</v>
      </c>
      <c r="H351" s="22">
        <f>IFERROR(IF(Yearending&gt;B350,'5. Historical demand'!F351-'5. Historical demand'!C351-'5. Historical demand'!D351,""),"")</f>
        <v>172.46575999999999</v>
      </c>
      <c r="I351" s="22">
        <f t="shared" si="14"/>
        <v>56.022067586206873</v>
      </c>
    </row>
    <row r="352" spans="2:9" x14ac:dyDescent="0.2">
      <c r="B352" s="192">
        <f t="shared" si="12"/>
        <v>45783</v>
      </c>
      <c r="C352" s="315">
        <v>79.517240000000001</v>
      </c>
      <c r="D352" s="315">
        <v>62.017241379310342</v>
      </c>
      <c r="E352" s="315">
        <v>78.853241379310333</v>
      </c>
      <c r="F352" s="315">
        <v>314.00024137931035</v>
      </c>
      <c r="G352" s="22">
        <f t="shared" si="13"/>
        <v>235.14700000000002</v>
      </c>
      <c r="H352" s="22">
        <f>IFERROR(IF(Yearending&gt;B351,'5. Historical demand'!F352-'5. Historical demand'!C352-'5. Historical demand'!D352,""),"")</f>
        <v>172.46575999999999</v>
      </c>
      <c r="I352" s="22">
        <f t="shared" si="14"/>
        <v>62.681240000000003</v>
      </c>
    </row>
    <row r="353" spans="2:9" x14ac:dyDescent="0.2">
      <c r="B353" s="192">
        <f t="shared" si="12"/>
        <v>45784</v>
      </c>
      <c r="C353" s="315">
        <v>79.517240000000001</v>
      </c>
      <c r="D353" s="315">
        <v>62.017241379310342</v>
      </c>
      <c r="E353" s="315">
        <v>70.521551724137936</v>
      </c>
      <c r="F353" s="315">
        <v>314.00024137931035</v>
      </c>
      <c r="G353" s="22">
        <f t="shared" si="13"/>
        <v>243.47868965517242</v>
      </c>
      <c r="H353" s="22">
        <f>IFERROR(IF(Yearending&gt;B352,'5. Historical demand'!F353-'5. Historical demand'!C353-'5. Historical demand'!D353,""),"")</f>
        <v>172.46575999999999</v>
      </c>
      <c r="I353" s="22">
        <f t="shared" si="14"/>
        <v>71.0129296551724</v>
      </c>
    </row>
    <row r="354" spans="2:9" x14ac:dyDescent="0.2">
      <c r="B354" s="192">
        <f t="shared" si="12"/>
        <v>45785</v>
      </c>
      <c r="C354" s="315">
        <v>79.517240000000001</v>
      </c>
      <c r="D354" s="315">
        <v>62.017241379310342</v>
      </c>
      <c r="E354" s="315">
        <v>77.374172413793104</v>
      </c>
      <c r="F354" s="315">
        <v>314.00024137931035</v>
      </c>
      <c r="G354" s="22">
        <f t="shared" si="13"/>
        <v>236.62606896551725</v>
      </c>
      <c r="H354" s="22">
        <f>IFERROR(IF(Yearending&gt;B353,'5. Historical demand'!F354-'5. Historical demand'!C354-'5. Historical demand'!D354,""),"")</f>
        <v>172.46575999999999</v>
      </c>
      <c r="I354" s="22">
        <f t="shared" si="14"/>
        <v>64.160308965517231</v>
      </c>
    </row>
    <row r="355" spans="2:9" x14ac:dyDescent="0.2">
      <c r="B355" s="192">
        <f t="shared" si="12"/>
        <v>45786</v>
      </c>
      <c r="C355" s="315">
        <v>79.517240000000001</v>
      </c>
      <c r="D355" s="315">
        <v>62.017241379310342</v>
      </c>
      <c r="E355" s="315">
        <v>99.302931034482768</v>
      </c>
      <c r="F355" s="315">
        <v>314.00024137931035</v>
      </c>
      <c r="G355" s="22">
        <f t="shared" si="13"/>
        <v>214.6973103448276</v>
      </c>
      <c r="H355" s="22">
        <f>IFERROR(IF(Yearending&gt;B354,'5. Historical demand'!F355-'5. Historical demand'!C355-'5. Historical demand'!D355,""),"")</f>
        <v>172.46575999999999</v>
      </c>
      <c r="I355" s="22">
        <f t="shared" si="14"/>
        <v>42.231550344827568</v>
      </c>
    </row>
    <row r="356" spans="2:9" x14ac:dyDescent="0.2">
      <c r="B356" s="192">
        <f t="shared" si="12"/>
        <v>45787</v>
      </c>
      <c r="C356" s="315">
        <v>79.517240000000001</v>
      </c>
      <c r="D356" s="315">
        <v>62.017241379310342</v>
      </c>
      <c r="E356" s="315">
        <v>89.30396551724138</v>
      </c>
      <c r="F356" s="315">
        <v>314.00024137931035</v>
      </c>
      <c r="G356" s="22">
        <f t="shared" si="13"/>
        <v>224.69627586206897</v>
      </c>
      <c r="H356" s="22">
        <f>IFERROR(IF(Yearending&gt;B355,'5. Historical demand'!F356-'5. Historical demand'!C356-'5. Historical demand'!D356,""),"")</f>
        <v>172.46575999999999</v>
      </c>
      <c r="I356" s="22">
        <f t="shared" si="14"/>
        <v>52.230515862068955</v>
      </c>
    </row>
    <row r="357" spans="2:9" x14ac:dyDescent="0.2">
      <c r="B357" s="192">
        <f t="shared" si="12"/>
        <v>45788</v>
      </c>
      <c r="C357" s="315">
        <v>79.517240000000001</v>
      </c>
      <c r="D357" s="315">
        <v>62.017241379310342</v>
      </c>
      <c r="E357" s="315">
        <v>82.283931034482777</v>
      </c>
      <c r="F357" s="315">
        <v>314.00024137931035</v>
      </c>
      <c r="G357" s="22">
        <f t="shared" si="13"/>
        <v>231.71631034482758</v>
      </c>
      <c r="H357" s="22">
        <f>IFERROR(IF(Yearending&gt;B356,'5. Historical demand'!F357-'5. Historical demand'!C357-'5. Historical demand'!D357,""),"")</f>
        <v>172.46575999999999</v>
      </c>
      <c r="I357" s="22">
        <f t="shared" si="14"/>
        <v>59.250550344827559</v>
      </c>
    </row>
    <row r="358" spans="2:9" x14ac:dyDescent="0.2">
      <c r="B358" s="192">
        <f t="shared" si="12"/>
        <v>45789</v>
      </c>
      <c r="C358" s="315">
        <v>79.517240000000001</v>
      </c>
      <c r="D358" s="315">
        <v>62.017241379310342</v>
      </c>
      <c r="E358" s="315">
        <v>109.36799999999999</v>
      </c>
      <c r="F358" s="315">
        <v>314.00024137931035</v>
      </c>
      <c r="G358" s="22">
        <f t="shared" si="13"/>
        <v>204.63224137931036</v>
      </c>
      <c r="H358" s="22">
        <f>IFERROR(IF(Yearending&gt;B357,'5. Historical demand'!F358-'5. Historical demand'!C358-'5. Historical demand'!D358,""),"")</f>
        <v>172.46575999999999</v>
      </c>
      <c r="I358" s="22">
        <f t="shared" si="14"/>
        <v>32.166481379310341</v>
      </c>
    </row>
    <row r="359" spans="2:9" x14ac:dyDescent="0.2">
      <c r="B359" s="192">
        <f t="shared" si="12"/>
        <v>45790</v>
      </c>
      <c r="C359" s="315">
        <v>79.517240000000001</v>
      </c>
      <c r="D359" s="315">
        <v>62.017241379310342</v>
      </c>
      <c r="E359" s="315">
        <v>87.695862068965511</v>
      </c>
      <c r="F359" s="315">
        <v>314.00024137931035</v>
      </c>
      <c r="G359" s="22">
        <f t="shared" si="13"/>
        <v>226.30437931034484</v>
      </c>
      <c r="H359" s="22">
        <f>IFERROR(IF(Yearending&gt;B358,'5. Historical demand'!F359-'5. Historical demand'!C359-'5. Historical demand'!D359,""),"")</f>
        <v>172.46575999999999</v>
      </c>
      <c r="I359" s="22">
        <f t="shared" si="14"/>
        <v>53.838619310344825</v>
      </c>
    </row>
    <row r="360" spans="2:9" x14ac:dyDescent="0.2">
      <c r="B360" s="192">
        <f t="shared" si="12"/>
        <v>45791</v>
      </c>
      <c r="C360" s="315">
        <v>79.517240000000001</v>
      </c>
      <c r="D360" s="315">
        <v>62.017241379310342</v>
      </c>
      <c r="E360" s="315">
        <v>89.984034482758631</v>
      </c>
      <c r="F360" s="315">
        <v>314.00024137931035</v>
      </c>
      <c r="G360" s="22">
        <f t="shared" si="13"/>
        <v>224.01620689655172</v>
      </c>
      <c r="H360" s="22">
        <f>IFERROR(IF(Yearending&gt;B359,'5. Historical demand'!F360-'5. Historical demand'!C360-'5. Historical demand'!D360,""),"")</f>
        <v>172.46575999999999</v>
      </c>
      <c r="I360" s="22">
        <f t="shared" si="14"/>
        <v>51.550446896551705</v>
      </c>
    </row>
    <row r="361" spans="2:9" x14ac:dyDescent="0.2">
      <c r="B361" s="192">
        <f t="shared" si="12"/>
        <v>45792</v>
      </c>
      <c r="C361" s="315">
        <v>79.517240000000001</v>
      </c>
      <c r="D361" s="315">
        <v>62.017241379310342</v>
      </c>
      <c r="E361" s="315">
        <v>98.196206896551715</v>
      </c>
      <c r="F361" s="315">
        <v>314.00024137931035</v>
      </c>
      <c r="G361" s="22">
        <f t="shared" si="13"/>
        <v>215.80403448275865</v>
      </c>
      <c r="H361" s="22">
        <f>IFERROR(IF(Yearending&gt;B360,'5. Historical demand'!F361-'5. Historical demand'!C361-'5. Historical demand'!D361,""),"")</f>
        <v>172.46575999999999</v>
      </c>
      <c r="I361" s="22">
        <f t="shared" si="14"/>
        <v>43.338274482758621</v>
      </c>
    </row>
    <row r="362" spans="2:9" x14ac:dyDescent="0.2">
      <c r="B362" s="192">
        <f t="shared" si="12"/>
        <v>45793</v>
      </c>
      <c r="C362" s="315">
        <v>79.517240000000001</v>
      </c>
      <c r="D362" s="315">
        <v>62.017241379310342</v>
      </c>
      <c r="E362" s="315">
        <v>94.648931034482757</v>
      </c>
      <c r="F362" s="315">
        <v>314.00024137931035</v>
      </c>
      <c r="G362" s="22">
        <f t="shared" si="13"/>
        <v>219.3513103448276</v>
      </c>
      <c r="H362" s="22">
        <f>IFERROR(IF(Yearending&gt;B361,'5. Historical demand'!F362-'5. Historical demand'!C362-'5. Historical demand'!D362,""),"")</f>
        <v>172.46575999999999</v>
      </c>
      <c r="I362" s="22">
        <f t="shared" si="14"/>
        <v>46.885550344827578</v>
      </c>
    </row>
    <row r="363" spans="2:9" x14ac:dyDescent="0.2">
      <c r="B363" s="192">
        <f t="shared" si="12"/>
        <v>45794</v>
      </c>
      <c r="C363" s="315">
        <v>79.517240000000001</v>
      </c>
      <c r="D363" s="315">
        <v>62.017241379310342</v>
      </c>
      <c r="E363" s="315">
        <v>81.487482758620686</v>
      </c>
      <c r="F363" s="315">
        <v>314.00024137931035</v>
      </c>
      <c r="G363" s="22">
        <f t="shared" si="13"/>
        <v>232.51275862068968</v>
      </c>
      <c r="H363" s="22">
        <f>IFERROR(IF(Yearending&gt;B362,'5. Historical demand'!F363-'5. Historical demand'!C363-'5. Historical demand'!D363,""),"")</f>
        <v>172.46575999999999</v>
      </c>
      <c r="I363" s="22">
        <f t="shared" si="14"/>
        <v>60.046998620689649</v>
      </c>
    </row>
    <row r="364" spans="2:9" x14ac:dyDescent="0.2">
      <c r="B364" s="192">
        <f t="shared" ref="B364:B408" si="15">IFERROR(IF(Yearending&gt;B363, B363+1, ""),"")</f>
        <v>45795</v>
      </c>
      <c r="C364" s="315">
        <v>79.517240000000001</v>
      </c>
      <c r="D364" s="315">
        <v>62.017241379310342</v>
      </c>
      <c r="E364" s="315">
        <v>72.615655172413796</v>
      </c>
      <c r="F364" s="315">
        <v>314.00024137931035</v>
      </c>
      <c r="G364" s="22">
        <f t="shared" ref="G364:G408" si="16">IFERROR(IF(Yearending&gt;B363,F364-E364,""),"")</f>
        <v>241.38458620689656</v>
      </c>
      <c r="H364" s="22">
        <f>IFERROR(IF(Yearending&gt;B363,'5. Historical demand'!F364-'5. Historical demand'!C364-'5. Historical demand'!D364,""),"")</f>
        <v>172.46575999999999</v>
      </c>
      <c r="I364" s="22">
        <f t="shared" ref="I364:I408" si="17">IFERROR(IF(Yearending&gt;B363,C364+D364-E364,""),"")</f>
        <v>68.91882620689654</v>
      </c>
    </row>
    <row r="365" spans="2:9" x14ac:dyDescent="0.2">
      <c r="B365" s="192">
        <f t="shared" si="15"/>
        <v>45796</v>
      </c>
      <c r="C365" s="315">
        <v>79.517240000000001</v>
      </c>
      <c r="D365" s="315">
        <v>62.017241379310342</v>
      </c>
      <c r="E365" s="315">
        <v>64.936655172413793</v>
      </c>
      <c r="F365" s="315">
        <v>314.00024137931035</v>
      </c>
      <c r="G365" s="22">
        <f t="shared" si="16"/>
        <v>249.06358620689656</v>
      </c>
      <c r="H365" s="22">
        <f>IFERROR(IF(Yearending&gt;B364,'5. Historical demand'!F365-'5. Historical demand'!C365-'5. Historical demand'!D365,""),"")</f>
        <v>172.46575999999999</v>
      </c>
      <c r="I365" s="22">
        <f t="shared" si="17"/>
        <v>76.597826206896542</v>
      </c>
    </row>
    <row r="366" spans="2:9" x14ac:dyDescent="0.2">
      <c r="B366" s="192">
        <f t="shared" si="15"/>
        <v>45797</v>
      </c>
      <c r="C366" s="315">
        <v>79.517240000000001</v>
      </c>
      <c r="D366" s="315">
        <v>62.017241379310342</v>
      </c>
      <c r="E366" s="315">
        <v>70.717034482758621</v>
      </c>
      <c r="F366" s="315">
        <v>314.00024137931035</v>
      </c>
      <c r="G366" s="22">
        <f t="shared" si="16"/>
        <v>243.28320689655175</v>
      </c>
      <c r="H366" s="22">
        <f>IFERROR(IF(Yearending&gt;B365,'5. Historical demand'!F366-'5. Historical demand'!C366-'5. Historical demand'!D366,""),"")</f>
        <v>172.46575999999999</v>
      </c>
      <c r="I366" s="22">
        <f t="shared" si="17"/>
        <v>70.817446896551715</v>
      </c>
    </row>
    <row r="367" spans="2:9" x14ac:dyDescent="0.2">
      <c r="B367" s="192">
        <f t="shared" si="15"/>
        <v>45798</v>
      </c>
      <c r="C367" s="315">
        <v>79.517240000000001</v>
      </c>
      <c r="D367" s="315">
        <v>62.017241379310342</v>
      </c>
      <c r="E367" s="315">
        <v>87.355620689655169</v>
      </c>
      <c r="F367" s="315">
        <v>314.00024137931035</v>
      </c>
      <c r="G367" s="22">
        <f t="shared" si="16"/>
        <v>226.6446206896552</v>
      </c>
      <c r="H367" s="22">
        <f>IFERROR(IF(Yearending&gt;B366,'5. Historical demand'!F367-'5. Historical demand'!C367-'5. Historical demand'!D367,""),"")</f>
        <v>172.46575999999999</v>
      </c>
      <c r="I367" s="22">
        <f t="shared" si="17"/>
        <v>54.178860689655167</v>
      </c>
    </row>
    <row r="368" spans="2:9" x14ac:dyDescent="0.2">
      <c r="B368" s="192">
        <f t="shared" si="15"/>
        <v>45799</v>
      </c>
      <c r="C368" s="315">
        <v>79.517240000000001</v>
      </c>
      <c r="D368" s="315">
        <v>62.017241379310342</v>
      </c>
      <c r="E368" s="315">
        <v>83.766655172413792</v>
      </c>
      <c r="F368" s="315">
        <v>314.00024137931035</v>
      </c>
      <c r="G368" s="22">
        <f t="shared" si="16"/>
        <v>230.23358620689658</v>
      </c>
      <c r="H368" s="22">
        <f>IFERROR(IF(Yearending&gt;B367,'5. Historical demand'!F368-'5. Historical demand'!C368-'5. Historical demand'!D368,""),"")</f>
        <v>172.46575999999999</v>
      </c>
      <c r="I368" s="22">
        <f t="shared" si="17"/>
        <v>57.767826206896544</v>
      </c>
    </row>
    <row r="369" spans="2:9" x14ac:dyDescent="0.2">
      <c r="B369" s="192">
        <f t="shared" si="15"/>
        <v>45800</v>
      </c>
      <c r="C369" s="315">
        <v>79.517240000000001</v>
      </c>
      <c r="D369" s="315">
        <v>62.017241379310342</v>
      </c>
      <c r="E369" s="315">
        <v>82.776655172413797</v>
      </c>
      <c r="F369" s="315">
        <v>314.00024137931035</v>
      </c>
      <c r="G369" s="22">
        <f t="shared" si="16"/>
        <v>231.22358620689656</v>
      </c>
      <c r="H369" s="22">
        <f>IFERROR(IF(Yearending&gt;B368,'5. Historical demand'!F369-'5. Historical demand'!C369-'5. Historical demand'!D369,""),"")</f>
        <v>172.46575999999999</v>
      </c>
      <c r="I369" s="22">
        <f t="shared" si="17"/>
        <v>58.757826206896539</v>
      </c>
    </row>
    <row r="370" spans="2:9" x14ac:dyDescent="0.2">
      <c r="B370" s="192">
        <f t="shared" si="15"/>
        <v>45801</v>
      </c>
      <c r="C370" s="315">
        <v>79.517240000000001</v>
      </c>
      <c r="D370" s="315">
        <v>62.017241379310342</v>
      </c>
      <c r="E370" s="315">
        <v>54.169034482758626</v>
      </c>
      <c r="F370" s="315">
        <v>314.00024137931035</v>
      </c>
      <c r="G370" s="22">
        <f t="shared" si="16"/>
        <v>259.83120689655175</v>
      </c>
      <c r="H370" s="22">
        <f>IFERROR(IF(Yearending&gt;B369,'5. Historical demand'!F370-'5. Historical demand'!C370-'5. Historical demand'!D370,""),"")</f>
        <v>172.46575999999999</v>
      </c>
      <c r="I370" s="22">
        <f t="shared" si="17"/>
        <v>87.365446896551703</v>
      </c>
    </row>
    <row r="371" spans="2:9" x14ac:dyDescent="0.2">
      <c r="B371" s="192">
        <f t="shared" si="15"/>
        <v>45802</v>
      </c>
      <c r="C371" s="315">
        <v>79.517240000000001</v>
      </c>
      <c r="D371" s="315">
        <v>62.017241379310342</v>
      </c>
      <c r="E371" s="315">
        <v>59.722758620689653</v>
      </c>
      <c r="F371" s="315">
        <v>314.00024137931035</v>
      </c>
      <c r="G371" s="22">
        <f t="shared" si="16"/>
        <v>254.27748275862069</v>
      </c>
      <c r="H371" s="22">
        <f>IFERROR(IF(Yearending&gt;B370,'5. Historical demand'!F371-'5. Historical demand'!C371-'5. Historical demand'!D371,""),"")</f>
        <v>172.46575999999999</v>
      </c>
      <c r="I371" s="22">
        <f t="shared" si="17"/>
        <v>81.811722758620675</v>
      </c>
    </row>
    <row r="372" spans="2:9" x14ac:dyDescent="0.2">
      <c r="B372" s="192">
        <f t="shared" si="15"/>
        <v>45803</v>
      </c>
      <c r="C372" s="315">
        <v>79.517240000000001</v>
      </c>
      <c r="D372" s="315">
        <v>62.017241379310342</v>
      </c>
      <c r="E372" s="315">
        <v>71.566482758620694</v>
      </c>
      <c r="F372" s="315">
        <v>314.00024137931035</v>
      </c>
      <c r="G372" s="22">
        <f t="shared" si="16"/>
        <v>242.43375862068967</v>
      </c>
      <c r="H372" s="22">
        <f>IFERROR(IF(Yearending&gt;B371,'5. Historical demand'!F372-'5. Historical demand'!C372-'5. Historical demand'!D372,""),"")</f>
        <v>172.46575999999999</v>
      </c>
      <c r="I372" s="22">
        <f t="shared" si="17"/>
        <v>69.967998620689642</v>
      </c>
    </row>
    <row r="373" spans="2:9" x14ac:dyDescent="0.2">
      <c r="B373" s="192">
        <f t="shared" si="15"/>
        <v>45804</v>
      </c>
      <c r="C373" s="315">
        <v>79.517240000000001</v>
      </c>
      <c r="D373" s="315">
        <v>62.017241379310342</v>
      </c>
      <c r="E373" s="315">
        <v>70.950448275862072</v>
      </c>
      <c r="F373" s="315">
        <v>314.00024137931035</v>
      </c>
      <c r="G373" s="22">
        <f t="shared" si="16"/>
        <v>243.04979310344828</v>
      </c>
      <c r="H373" s="22">
        <f>IFERROR(IF(Yearending&gt;B372,'5. Historical demand'!F373-'5. Historical demand'!C373-'5. Historical demand'!D373,""),"")</f>
        <v>172.46575999999999</v>
      </c>
      <c r="I373" s="22">
        <f t="shared" si="17"/>
        <v>70.584033103448263</v>
      </c>
    </row>
    <row r="374" spans="2:9" x14ac:dyDescent="0.2">
      <c r="B374" s="192">
        <f t="shared" si="15"/>
        <v>45805</v>
      </c>
      <c r="C374" s="315">
        <v>79.517240000000001</v>
      </c>
      <c r="D374" s="315">
        <v>62.017241379310342</v>
      </c>
      <c r="E374" s="315">
        <v>80.68693103448274</v>
      </c>
      <c r="F374" s="315">
        <v>314.00024137931035</v>
      </c>
      <c r="G374" s="22">
        <f t="shared" si="16"/>
        <v>233.31331034482761</v>
      </c>
      <c r="H374" s="22">
        <f>IFERROR(IF(Yearending&gt;B373,'5. Historical demand'!F374-'5. Historical demand'!C374-'5. Historical demand'!D374,""),"")</f>
        <v>172.46575999999999</v>
      </c>
      <c r="I374" s="22">
        <f t="shared" si="17"/>
        <v>60.847550344827596</v>
      </c>
    </row>
    <row r="375" spans="2:9" x14ac:dyDescent="0.2">
      <c r="B375" s="192">
        <f t="shared" si="15"/>
        <v>45806</v>
      </c>
      <c r="C375" s="315">
        <v>79.517240000000001</v>
      </c>
      <c r="D375" s="315">
        <v>62.017241379310342</v>
      </c>
      <c r="E375" s="315">
        <v>76.353517241379308</v>
      </c>
      <c r="F375" s="315">
        <v>314.00024137931035</v>
      </c>
      <c r="G375" s="22">
        <f t="shared" si="16"/>
        <v>237.64672413793105</v>
      </c>
      <c r="H375" s="22">
        <f>IFERROR(IF(Yearending&gt;B374,'5. Historical demand'!F375-'5. Historical demand'!C375-'5. Historical demand'!D375,""),"")</f>
        <v>172.46575999999999</v>
      </c>
      <c r="I375" s="22">
        <f t="shared" si="17"/>
        <v>65.180964137931028</v>
      </c>
    </row>
    <row r="376" spans="2:9" x14ac:dyDescent="0.2">
      <c r="B376" s="192">
        <f t="shared" si="15"/>
        <v>45807</v>
      </c>
      <c r="C376" s="315">
        <v>79.517240000000001</v>
      </c>
      <c r="D376" s="315">
        <v>62.017241379310342</v>
      </c>
      <c r="E376" s="315">
        <v>85.613862068965517</v>
      </c>
      <c r="F376" s="315">
        <v>314.00024137931035</v>
      </c>
      <c r="G376" s="22">
        <f t="shared" si="16"/>
        <v>228.38637931034484</v>
      </c>
      <c r="H376" s="22">
        <f>IFERROR(IF(Yearending&gt;B375,'5. Historical demand'!F376-'5. Historical demand'!C376-'5. Historical demand'!D376,""),"")</f>
        <v>172.46575999999999</v>
      </c>
      <c r="I376" s="22">
        <f t="shared" si="17"/>
        <v>55.920619310344819</v>
      </c>
    </row>
    <row r="377" spans="2:9" x14ac:dyDescent="0.2">
      <c r="B377" s="192">
        <f t="shared" si="15"/>
        <v>45808</v>
      </c>
      <c r="C377" s="315">
        <v>79.517240000000001</v>
      </c>
      <c r="D377" s="315">
        <v>62.017241379310342</v>
      </c>
      <c r="E377" s="315">
        <v>61.446275862068958</v>
      </c>
      <c r="F377" s="315">
        <v>314.00024137931035</v>
      </c>
      <c r="G377" s="22">
        <f t="shared" si="16"/>
        <v>252.55396551724141</v>
      </c>
      <c r="H377" s="22">
        <f>IFERROR(IF(Yearending&gt;B376,'5. Historical demand'!F377-'5. Historical demand'!C377-'5. Historical demand'!D377,""),"")</f>
        <v>172.46575999999999</v>
      </c>
      <c r="I377" s="22">
        <f t="shared" si="17"/>
        <v>80.088205517241377</v>
      </c>
    </row>
    <row r="378" spans="2:9" x14ac:dyDescent="0.2">
      <c r="B378" s="192">
        <f t="shared" si="15"/>
        <v>45809</v>
      </c>
      <c r="C378" s="315">
        <v>79.517240000000001</v>
      </c>
      <c r="D378" s="315">
        <v>62.017241379310342</v>
      </c>
      <c r="E378" s="315">
        <v>60.492034482758626</v>
      </c>
      <c r="F378" s="315">
        <v>314.00024137931035</v>
      </c>
      <c r="G378" s="22">
        <f t="shared" si="16"/>
        <v>253.50820689655171</v>
      </c>
      <c r="H378" s="22">
        <f>IFERROR(IF(Yearending&gt;B377,'5. Historical demand'!F378-'5. Historical demand'!C378-'5. Historical demand'!D378,""),"")</f>
        <v>172.46575999999999</v>
      </c>
      <c r="I378" s="22">
        <f t="shared" si="17"/>
        <v>81.042446896551709</v>
      </c>
    </row>
    <row r="379" spans="2:9" x14ac:dyDescent="0.2">
      <c r="B379" s="192">
        <f t="shared" si="15"/>
        <v>45810</v>
      </c>
      <c r="C379" s="315">
        <v>79.517240000000001</v>
      </c>
      <c r="D379" s="315">
        <v>62.017241379310342</v>
      </c>
      <c r="E379" s="315">
        <v>73.221724137931034</v>
      </c>
      <c r="F379" s="315">
        <v>314.00024137931035</v>
      </c>
      <c r="G379" s="22">
        <f t="shared" si="16"/>
        <v>240.77851724137932</v>
      </c>
      <c r="H379" s="22">
        <f>IFERROR(IF(Yearending&gt;B378,'5. Historical demand'!F379-'5. Historical demand'!C379-'5. Historical demand'!D379,""),"")</f>
        <v>172.46575999999999</v>
      </c>
      <c r="I379" s="22">
        <f t="shared" si="17"/>
        <v>68.312757241379302</v>
      </c>
    </row>
    <row r="380" spans="2:9" x14ac:dyDescent="0.2">
      <c r="B380" s="192">
        <f t="shared" si="15"/>
        <v>45811</v>
      </c>
      <c r="C380" s="315">
        <v>79.517240000000001</v>
      </c>
      <c r="D380" s="315">
        <v>62.017241379310342</v>
      </c>
      <c r="E380" s="315">
        <v>71.977034482758611</v>
      </c>
      <c r="F380" s="315">
        <v>314.00024137931035</v>
      </c>
      <c r="G380" s="22">
        <f t="shared" si="16"/>
        <v>242.02320689655176</v>
      </c>
      <c r="H380" s="22">
        <f>IFERROR(IF(Yearending&gt;B379,'5. Historical demand'!F380-'5. Historical demand'!C380-'5. Historical demand'!D380,""),"")</f>
        <v>172.46575999999999</v>
      </c>
      <c r="I380" s="22">
        <f t="shared" si="17"/>
        <v>69.557446896551724</v>
      </c>
    </row>
    <row r="381" spans="2:9" x14ac:dyDescent="0.2">
      <c r="B381" s="192">
        <f t="shared" si="15"/>
        <v>45812</v>
      </c>
      <c r="C381" s="315">
        <v>79.517240000000001</v>
      </c>
      <c r="D381" s="315">
        <v>62.017241379310342</v>
      </c>
      <c r="E381" s="315">
        <v>72.104310344827582</v>
      </c>
      <c r="F381" s="315">
        <v>314.00024137931035</v>
      </c>
      <c r="G381" s="22">
        <f t="shared" si="16"/>
        <v>241.89593103448277</v>
      </c>
      <c r="H381" s="22">
        <f>IFERROR(IF(Yearending&gt;B380,'5. Historical demand'!F381-'5. Historical demand'!C381-'5. Historical demand'!D381,""),"")</f>
        <v>172.46575999999999</v>
      </c>
      <c r="I381" s="22">
        <f t="shared" si="17"/>
        <v>69.430171034482754</v>
      </c>
    </row>
    <row r="382" spans="2:9" x14ac:dyDescent="0.2">
      <c r="B382" s="192">
        <f t="shared" si="15"/>
        <v>45813</v>
      </c>
      <c r="C382" s="315">
        <v>79.517240000000001</v>
      </c>
      <c r="D382" s="315">
        <v>62.017241379310342</v>
      </c>
      <c r="E382" s="315">
        <v>77.900448275862061</v>
      </c>
      <c r="F382" s="315">
        <v>314.00024137931035</v>
      </c>
      <c r="G382" s="22">
        <f t="shared" si="16"/>
        <v>236.09979310344829</v>
      </c>
      <c r="H382" s="22">
        <f>IFERROR(IF(Yearending&gt;B381,'5. Historical demand'!F382-'5. Historical demand'!C382-'5. Historical demand'!D382,""),"")</f>
        <v>172.46575999999999</v>
      </c>
      <c r="I382" s="22">
        <f t="shared" si="17"/>
        <v>63.634033103448274</v>
      </c>
    </row>
    <row r="383" spans="2:9" x14ac:dyDescent="0.2">
      <c r="B383" s="192">
        <f t="shared" si="15"/>
        <v>45814</v>
      </c>
      <c r="C383" s="315">
        <v>79.517240000000001</v>
      </c>
      <c r="D383" s="315">
        <v>62.017241379310342</v>
      </c>
      <c r="E383" s="315">
        <v>68.332862068965525</v>
      </c>
      <c r="F383" s="315">
        <v>314.00024137931035</v>
      </c>
      <c r="G383" s="22">
        <f t="shared" si="16"/>
        <v>245.66737931034481</v>
      </c>
      <c r="H383" s="22">
        <f>IFERROR(IF(Yearending&gt;B382,'5. Historical demand'!F383-'5. Historical demand'!C383-'5. Historical demand'!D383,""),"")</f>
        <v>172.46575999999999</v>
      </c>
      <c r="I383" s="22">
        <f t="shared" si="17"/>
        <v>73.20161931034481</v>
      </c>
    </row>
    <row r="384" spans="2:9" x14ac:dyDescent="0.2">
      <c r="B384" s="192">
        <f t="shared" si="15"/>
        <v>45815</v>
      </c>
      <c r="C384" s="315">
        <v>79.517240000000001</v>
      </c>
      <c r="D384" s="315">
        <v>62.017241379310342</v>
      </c>
      <c r="E384" s="315">
        <v>59.58</v>
      </c>
      <c r="F384" s="315">
        <v>314.00024137931035</v>
      </c>
      <c r="G384" s="22">
        <f t="shared" si="16"/>
        <v>254.42024137931037</v>
      </c>
      <c r="H384" s="22">
        <f>IFERROR(IF(Yearending&gt;B383,'5. Historical demand'!F384-'5. Historical demand'!C384-'5. Historical demand'!D384,""),"")</f>
        <v>172.46575999999999</v>
      </c>
      <c r="I384" s="22">
        <f t="shared" si="17"/>
        <v>81.954481379310337</v>
      </c>
    </row>
    <row r="385" spans="2:9" x14ac:dyDescent="0.2">
      <c r="B385" s="192">
        <f t="shared" si="15"/>
        <v>45816</v>
      </c>
      <c r="C385" s="315">
        <v>79.517240000000001</v>
      </c>
      <c r="D385" s="315">
        <v>62.017241379310342</v>
      </c>
      <c r="E385" s="315">
        <v>64.344620689655173</v>
      </c>
      <c r="F385" s="315">
        <v>314.00024137931035</v>
      </c>
      <c r="G385" s="22">
        <f t="shared" si="16"/>
        <v>249.65562068965517</v>
      </c>
      <c r="H385" s="22">
        <f>IFERROR(IF(Yearending&gt;B384,'5. Historical demand'!F385-'5. Historical demand'!C385-'5. Historical demand'!D385,""),"")</f>
        <v>172.46575999999999</v>
      </c>
      <c r="I385" s="22">
        <f t="shared" si="17"/>
        <v>77.189860689655163</v>
      </c>
    </row>
    <row r="386" spans="2:9" x14ac:dyDescent="0.2">
      <c r="B386" s="192">
        <f t="shared" si="15"/>
        <v>45817</v>
      </c>
      <c r="C386" s="315">
        <v>79.517240000000001</v>
      </c>
      <c r="D386" s="315">
        <v>62.017241379310342</v>
      </c>
      <c r="E386" s="315">
        <v>99.317310344827604</v>
      </c>
      <c r="F386" s="315">
        <v>314.00024137931035</v>
      </c>
      <c r="G386" s="22">
        <f t="shared" si="16"/>
        <v>214.68293103448275</v>
      </c>
      <c r="H386" s="22">
        <f>IFERROR(IF(Yearending&gt;B385,'5. Historical demand'!F386-'5. Historical demand'!C386-'5. Historical demand'!D386,""),"")</f>
        <v>172.46575999999999</v>
      </c>
      <c r="I386" s="22">
        <f t="shared" si="17"/>
        <v>42.217171034482732</v>
      </c>
    </row>
    <row r="387" spans="2:9" x14ac:dyDescent="0.2">
      <c r="B387" s="192">
        <f t="shared" si="15"/>
        <v>45818</v>
      </c>
      <c r="C387" s="315">
        <v>79.517240000000001</v>
      </c>
      <c r="D387" s="315">
        <v>62.017241379310342</v>
      </c>
      <c r="E387" s="315">
        <v>134.87075862068966</v>
      </c>
      <c r="F387" s="315">
        <v>314.00024137931035</v>
      </c>
      <c r="G387" s="22">
        <f t="shared" si="16"/>
        <v>179.1294827586207</v>
      </c>
      <c r="H387" s="22">
        <f>IFERROR(IF(Yearending&gt;B386,'5. Historical demand'!F387-'5. Historical demand'!C387-'5. Historical demand'!D387,""),"")</f>
        <v>172.46575999999999</v>
      </c>
      <c r="I387" s="22">
        <f t="shared" si="17"/>
        <v>6.6637227586206791</v>
      </c>
    </row>
    <row r="388" spans="2:9" x14ac:dyDescent="0.2">
      <c r="B388" s="192">
        <f t="shared" si="15"/>
        <v>45819</v>
      </c>
      <c r="C388" s="315">
        <v>79.517240000000001</v>
      </c>
      <c r="D388" s="315">
        <v>62.017241379310342</v>
      </c>
      <c r="E388" s="315">
        <v>122.72220689655171</v>
      </c>
      <c r="F388" s="315">
        <v>314.00024137931035</v>
      </c>
      <c r="G388" s="22">
        <f t="shared" si="16"/>
        <v>191.27803448275864</v>
      </c>
      <c r="H388" s="22">
        <f>IFERROR(IF(Yearending&gt;B387,'5. Historical demand'!F388-'5. Historical demand'!C388-'5. Historical demand'!D388,""),"")</f>
        <v>172.46575999999999</v>
      </c>
      <c r="I388" s="22">
        <f t="shared" si="17"/>
        <v>18.812274482758625</v>
      </c>
    </row>
    <row r="389" spans="2:9" x14ac:dyDescent="0.2">
      <c r="B389" s="192">
        <f t="shared" si="15"/>
        <v>45820</v>
      </c>
      <c r="C389" s="315">
        <v>79.517240000000001</v>
      </c>
      <c r="D389" s="315">
        <v>62.017241379310342</v>
      </c>
      <c r="E389" s="315">
        <v>109.98517241379311</v>
      </c>
      <c r="F389" s="315">
        <v>314.00024137931035</v>
      </c>
      <c r="G389" s="22">
        <f t="shared" si="16"/>
        <v>204.01506896551723</v>
      </c>
      <c r="H389" s="22">
        <f>IFERROR(IF(Yearending&gt;B388,'5. Historical demand'!F389-'5. Historical demand'!C389-'5. Historical demand'!D389,""),"")</f>
        <v>172.46575999999999</v>
      </c>
      <c r="I389" s="22">
        <f t="shared" si="17"/>
        <v>31.549308965517227</v>
      </c>
    </row>
    <row r="390" spans="2:9" x14ac:dyDescent="0.2">
      <c r="B390" s="192">
        <f t="shared" si="15"/>
        <v>45821</v>
      </c>
      <c r="C390" s="315">
        <v>79.517240000000001</v>
      </c>
      <c r="D390" s="315">
        <v>62.017241379310342</v>
      </c>
      <c r="E390" s="315">
        <v>99.309103448275863</v>
      </c>
      <c r="F390" s="315">
        <v>314.00024137931035</v>
      </c>
      <c r="G390" s="22">
        <f t="shared" si="16"/>
        <v>214.69113793103449</v>
      </c>
      <c r="H390" s="22">
        <f>IFERROR(IF(Yearending&gt;B389,'5. Historical demand'!F390-'5. Historical demand'!C390-'5. Historical demand'!D390,""),"")</f>
        <v>172.46575999999999</v>
      </c>
      <c r="I390" s="22">
        <f t="shared" si="17"/>
        <v>42.225377931034473</v>
      </c>
    </row>
    <row r="391" spans="2:9" x14ac:dyDescent="0.2">
      <c r="B391" s="192">
        <f t="shared" si="15"/>
        <v>45822</v>
      </c>
      <c r="C391" s="315">
        <v>79.517240000000001</v>
      </c>
      <c r="D391" s="315">
        <v>62.017241379310342</v>
      </c>
      <c r="E391" s="315">
        <v>93.771793103448275</v>
      </c>
      <c r="F391" s="315">
        <v>314.00024137931035</v>
      </c>
      <c r="G391" s="22">
        <f t="shared" si="16"/>
        <v>220.22844827586209</v>
      </c>
      <c r="H391" s="22">
        <f>IFERROR(IF(Yearending&gt;B390,'5. Historical demand'!F391-'5. Historical demand'!C391-'5. Historical demand'!D391,""),"")</f>
        <v>172.46575999999999</v>
      </c>
      <c r="I391" s="22">
        <f t="shared" si="17"/>
        <v>47.762688275862061</v>
      </c>
    </row>
    <row r="392" spans="2:9" x14ac:dyDescent="0.2">
      <c r="B392" s="192">
        <f t="shared" si="15"/>
        <v>45823</v>
      </c>
      <c r="C392" s="315">
        <v>79.517240000000001</v>
      </c>
      <c r="D392" s="315">
        <v>62.017241379310342</v>
      </c>
      <c r="E392" s="315">
        <v>87.1375172413793</v>
      </c>
      <c r="F392" s="315">
        <v>314.00024137931035</v>
      </c>
      <c r="G392" s="22">
        <f t="shared" si="16"/>
        <v>226.86272413793105</v>
      </c>
      <c r="H392" s="22">
        <f>IFERROR(IF(Yearending&gt;B391,'5. Historical demand'!F392-'5. Historical demand'!C392-'5. Historical demand'!D392,""),"")</f>
        <v>172.46575999999999</v>
      </c>
      <c r="I392" s="22">
        <f t="shared" si="17"/>
        <v>54.396964137931036</v>
      </c>
    </row>
    <row r="393" spans="2:9" x14ac:dyDescent="0.2">
      <c r="B393" s="192">
        <f t="shared" si="15"/>
        <v>45824</v>
      </c>
      <c r="C393" s="315">
        <v>79.517240000000001</v>
      </c>
      <c r="D393" s="315">
        <v>62.017241379310342</v>
      </c>
      <c r="E393" s="315">
        <v>95.197793103448276</v>
      </c>
      <c r="F393" s="315">
        <v>314.00024137931035</v>
      </c>
      <c r="G393" s="22">
        <f t="shared" si="16"/>
        <v>218.80244827586208</v>
      </c>
      <c r="H393" s="22">
        <f>IFERROR(IF(Yearending&gt;B392,'5. Historical demand'!F393-'5. Historical demand'!C393-'5. Historical demand'!D393,""),"")</f>
        <v>172.46575999999999</v>
      </c>
      <c r="I393" s="22">
        <f t="shared" si="17"/>
        <v>46.336688275862059</v>
      </c>
    </row>
    <row r="394" spans="2:9" x14ac:dyDescent="0.2">
      <c r="B394" s="192">
        <f t="shared" si="15"/>
        <v>45825</v>
      </c>
      <c r="C394" s="315">
        <v>79.517240000000001</v>
      </c>
      <c r="D394" s="315">
        <v>62.017241379310342</v>
      </c>
      <c r="E394" s="315">
        <v>112.19844827586206</v>
      </c>
      <c r="F394" s="315">
        <v>314.00024137931035</v>
      </c>
      <c r="G394" s="22">
        <f t="shared" si="16"/>
        <v>201.80179310344829</v>
      </c>
      <c r="H394" s="22">
        <f>IFERROR(IF(Yearending&gt;B393,'5. Historical demand'!F394-'5. Historical demand'!C394-'5. Historical demand'!D394,""),"")</f>
        <v>172.46575999999999</v>
      </c>
      <c r="I394" s="22">
        <f t="shared" si="17"/>
        <v>29.336033103448273</v>
      </c>
    </row>
    <row r="395" spans="2:9" x14ac:dyDescent="0.2">
      <c r="B395" s="192">
        <f t="shared" si="15"/>
        <v>45826</v>
      </c>
      <c r="C395" s="315">
        <v>79.517240000000001</v>
      </c>
      <c r="D395" s="315">
        <v>62.017241379310342</v>
      </c>
      <c r="E395" s="315">
        <v>129.83134482758624</v>
      </c>
      <c r="F395" s="315">
        <v>314.00024137931035</v>
      </c>
      <c r="G395" s="22">
        <f t="shared" si="16"/>
        <v>184.16889655172412</v>
      </c>
      <c r="H395" s="22">
        <f>IFERROR(IF(Yearending&gt;B394,'5. Historical demand'!F395-'5. Historical demand'!C395-'5. Historical demand'!D395,""),"")</f>
        <v>172.46575999999999</v>
      </c>
      <c r="I395" s="22">
        <f t="shared" si="17"/>
        <v>11.7031365517241</v>
      </c>
    </row>
    <row r="396" spans="2:9" x14ac:dyDescent="0.2">
      <c r="B396" s="192">
        <f t="shared" si="15"/>
        <v>45827</v>
      </c>
      <c r="C396" s="315">
        <v>79.517240000000001</v>
      </c>
      <c r="D396" s="315">
        <v>62.017241379310342</v>
      </c>
      <c r="E396" s="315">
        <v>121.26551724137931</v>
      </c>
      <c r="F396" s="315">
        <v>314.00024137931035</v>
      </c>
      <c r="G396" s="22">
        <f t="shared" si="16"/>
        <v>192.73472413793104</v>
      </c>
      <c r="H396" s="22">
        <f>IFERROR(IF(Yearending&gt;B395,'5. Historical demand'!F396-'5. Historical demand'!C396-'5. Historical demand'!D396,""),"")</f>
        <v>172.46575999999999</v>
      </c>
      <c r="I396" s="22">
        <f t="shared" si="17"/>
        <v>20.268964137931022</v>
      </c>
    </row>
    <row r="397" spans="2:9" x14ac:dyDescent="0.2">
      <c r="B397" s="192">
        <f t="shared" si="15"/>
        <v>45828</v>
      </c>
      <c r="C397" s="315">
        <v>79.517240000000001</v>
      </c>
      <c r="D397" s="315">
        <v>62.017241379310342</v>
      </c>
      <c r="E397" s="315">
        <v>99.224586206896561</v>
      </c>
      <c r="F397" s="315">
        <v>314.00024137931035</v>
      </c>
      <c r="G397" s="22">
        <f t="shared" si="16"/>
        <v>214.77565517241379</v>
      </c>
      <c r="H397" s="22">
        <f>IFERROR(IF(Yearending&gt;B396,'5. Historical demand'!F397-'5. Historical demand'!C397-'5. Historical demand'!D397,""),"")</f>
        <v>172.46575999999999</v>
      </c>
      <c r="I397" s="22">
        <f t="shared" si="17"/>
        <v>42.309895172413775</v>
      </c>
    </row>
    <row r="398" spans="2:9" x14ac:dyDescent="0.2">
      <c r="B398" s="192">
        <f t="shared" si="15"/>
        <v>45829</v>
      </c>
      <c r="C398" s="315">
        <v>79.517240000000001</v>
      </c>
      <c r="D398" s="315">
        <v>62.017241379310342</v>
      </c>
      <c r="E398" s="315">
        <v>58.950620689655175</v>
      </c>
      <c r="F398" s="315">
        <v>314.00024137931035</v>
      </c>
      <c r="G398" s="22">
        <f t="shared" si="16"/>
        <v>255.04962068965517</v>
      </c>
      <c r="H398" s="22">
        <f>IFERROR(IF(Yearending&gt;B397,'5. Historical demand'!F398-'5. Historical demand'!C398-'5. Historical demand'!D398,""),"")</f>
        <v>172.46575999999999</v>
      </c>
      <c r="I398" s="22">
        <f t="shared" si="17"/>
        <v>82.583860689655154</v>
      </c>
    </row>
    <row r="399" spans="2:9" x14ac:dyDescent="0.2">
      <c r="B399" s="192">
        <f t="shared" si="15"/>
        <v>45830</v>
      </c>
      <c r="C399" s="315">
        <v>79.517240000000001</v>
      </c>
      <c r="D399" s="315">
        <v>62.017241379310342</v>
      </c>
      <c r="E399" s="315">
        <v>60.731931034482763</v>
      </c>
      <c r="F399" s="315">
        <v>314.00024137931035</v>
      </c>
      <c r="G399" s="22">
        <f t="shared" si="16"/>
        <v>253.2683103448276</v>
      </c>
      <c r="H399" s="22">
        <f>IFERROR(IF(Yearending&gt;B398,'5. Historical demand'!F399-'5. Historical demand'!C399-'5. Historical demand'!D399,""),"")</f>
        <v>172.46575999999999</v>
      </c>
      <c r="I399" s="22">
        <f t="shared" si="17"/>
        <v>80.80255034482758</v>
      </c>
    </row>
    <row r="400" spans="2:9" x14ac:dyDescent="0.2">
      <c r="B400" s="192">
        <f t="shared" si="15"/>
        <v>45831</v>
      </c>
      <c r="C400" s="315">
        <v>79.517240000000001</v>
      </c>
      <c r="D400" s="315">
        <v>62.017241379310342</v>
      </c>
      <c r="E400" s="315">
        <v>82.277482758620692</v>
      </c>
      <c r="F400" s="315">
        <v>314.00024137931035</v>
      </c>
      <c r="G400" s="22">
        <f t="shared" si="16"/>
        <v>231.72275862068966</v>
      </c>
      <c r="H400" s="22">
        <f>IFERROR(IF(Yearending&gt;B399,'5. Historical demand'!F400-'5. Historical demand'!C400-'5. Historical demand'!D400,""),"")</f>
        <v>172.46575999999999</v>
      </c>
      <c r="I400" s="22">
        <f t="shared" si="17"/>
        <v>59.256998620689643</v>
      </c>
    </row>
    <row r="401" spans="2:9" x14ac:dyDescent="0.2">
      <c r="B401" s="192">
        <f t="shared" si="15"/>
        <v>45832</v>
      </c>
      <c r="C401" s="315">
        <v>79.517240000000001</v>
      </c>
      <c r="D401" s="315">
        <v>62.017241379310342</v>
      </c>
      <c r="E401" s="315">
        <v>84.295034482758609</v>
      </c>
      <c r="F401" s="315">
        <v>314.00024137931035</v>
      </c>
      <c r="G401" s="22">
        <f t="shared" si="16"/>
        <v>229.70520689655174</v>
      </c>
      <c r="H401" s="22">
        <f>IFERROR(IF(Yearending&gt;B400,'5. Historical demand'!F401-'5. Historical demand'!C401-'5. Historical demand'!D401,""),"")</f>
        <v>172.46575999999999</v>
      </c>
      <c r="I401" s="22">
        <f t="shared" si="17"/>
        <v>57.239446896551726</v>
      </c>
    </row>
    <row r="402" spans="2:9" x14ac:dyDescent="0.2">
      <c r="B402" s="192">
        <f t="shared" si="15"/>
        <v>45833</v>
      </c>
      <c r="C402" s="315">
        <v>79.517240000000001</v>
      </c>
      <c r="D402" s="315">
        <v>62.017241379310342</v>
      </c>
      <c r="E402" s="315">
        <v>99.482310344827596</v>
      </c>
      <c r="F402" s="315">
        <v>314.00024137931035</v>
      </c>
      <c r="G402" s="22">
        <f t="shared" si="16"/>
        <v>214.51793103448276</v>
      </c>
      <c r="H402" s="22">
        <f>IFERROR(IF(Yearending&gt;B401,'5. Historical demand'!F402-'5. Historical demand'!C402-'5. Historical demand'!D402,""),"")</f>
        <v>172.46575999999999</v>
      </c>
      <c r="I402" s="22">
        <f t="shared" si="17"/>
        <v>42.05217103448274</v>
      </c>
    </row>
    <row r="403" spans="2:9" x14ac:dyDescent="0.2">
      <c r="B403" s="192">
        <f t="shared" si="15"/>
        <v>45834</v>
      </c>
      <c r="C403" s="315">
        <v>79.517240000000001</v>
      </c>
      <c r="D403" s="315">
        <v>62.017241379310342</v>
      </c>
      <c r="E403" s="315">
        <v>171.09855172413793</v>
      </c>
      <c r="F403" s="315">
        <v>314.00024137931035</v>
      </c>
      <c r="G403" s="22">
        <f t="shared" si="16"/>
        <v>142.90168965517242</v>
      </c>
      <c r="H403" s="22">
        <f>IFERROR(IF(Yearending&gt;B402,'5. Historical demand'!F403-'5. Historical demand'!C403-'5. Historical demand'!D403,""),"")</f>
        <v>172.46575999999999</v>
      </c>
      <c r="I403" s="22">
        <f t="shared" si="17"/>
        <v>-29.564070344827599</v>
      </c>
    </row>
    <row r="404" spans="2:9" x14ac:dyDescent="0.2">
      <c r="B404" s="192">
        <f t="shared" si="15"/>
        <v>45835</v>
      </c>
      <c r="C404" s="315">
        <v>79.517240000000001</v>
      </c>
      <c r="D404" s="315">
        <v>62.017241379310342</v>
      </c>
      <c r="E404" s="315">
        <v>126.76668965517241</v>
      </c>
      <c r="F404" s="315">
        <v>314.00024137931035</v>
      </c>
      <c r="G404" s="22">
        <f t="shared" si="16"/>
        <v>187.23355172413795</v>
      </c>
      <c r="H404" s="22">
        <f>IFERROR(IF(Yearending&gt;B403,'5. Historical demand'!F404-'5. Historical demand'!C404-'5. Historical demand'!D404,""),"")</f>
        <v>172.46575999999999</v>
      </c>
      <c r="I404" s="22">
        <f t="shared" si="17"/>
        <v>14.767791724137922</v>
      </c>
    </row>
    <row r="405" spans="2:9" x14ac:dyDescent="0.2">
      <c r="B405" s="192">
        <f t="shared" si="15"/>
        <v>45836</v>
      </c>
      <c r="C405" s="315">
        <v>79.517240000000001</v>
      </c>
      <c r="D405" s="315">
        <v>62.017241379310342</v>
      </c>
      <c r="E405" s="315">
        <v>114.14975862068965</v>
      </c>
      <c r="F405" s="315">
        <v>314.00024137931035</v>
      </c>
      <c r="G405" s="22">
        <f t="shared" si="16"/>
        <v>199.8504827586207</v>
      </c>
      <c r="H405" s="22">
        <f>IFERROR(IF(Yearending&gt;B404,'5. Historical demand'!F405-'5. Historical demand'!C405-'5. Historical demand'!D405,""),"")</f>
        <v>172.46575999999999</v>
      </c>
      <c r="I405" s="22">
        <f t="shared" si="17"/>
        <v>27.384722758620683</v>
      </c>
    </row>
    <row r="406" spans="2:9" x14ac:dyDescent="0.2">
      <c r="B406" s="192">
        <f t="shared" si="15"/>
        <v>45837</v>
      </c>
      <c r="C406" s="315">
        <v>79.517240000000001</v>
      </c>
      <c r="D406" s="315">
        <v>62.017241379310342</v>
      </c>
      <c r="E406" s="315">
        <v>121.14368965517241</v>
      </c>
      <c r="F406" s="315">
        <v>314.00024137931035</v>
      </c>
      <c r="G406" s="22">
        <f t="shared" si="16"/>
        <v>192.85655172413794</v>
      </c>
      <c r="H406" s="22">
        <f>IFERROR(IF(Yearending&gt;B405,'5. Historical demand'!F406-'5. Historical demand'!C406-'5. Historical demand'!D406,""),"")</f>
        <v>172.46575999999999</v>
      </c>
      <c r="I406" s="22">
        <f t="shared" si="17"/>
        <v>20.390791724137927</v>
      </c>
    </row>
    <row r="407" spans="2:9" x14ac:dyDescent="0.2">
      <c r="B407" s="192">
        <f t="shared" si="15"/>
        <v>45838</v>
      </c>
      <c r="C407" s="315">
        <v>79.517240000000001</v>
      </c>
      <c r="D407" s="315">
        <v>62.017241379310342</v>
      </c>
      <c r="E407" s="315">
        <v>149.8801724137931</v>
      </c>
      <c r="F407" s="315">
        <v>314.00024137931035</v>
      </c>
      <c r="G407" s="22">
        <f t="shared" si="16"/>
        <v>164.12006896551725</v>
      </c>
      <c r="H407" s="22">
        <f>IFERROR(IF(Yearending&gt;B406,'5. Historical demand'!F407-'5. Historical demand'!C407-'5. Historical demand'!D407,""),"")</f>
        <v>172.46575999999999</v>
      </c>
      <c r="I407" s="22">
        <f t="shared" si="17"/>
        <v>-8.3456910344827691</v>
      </c>
    </row>
    <row r="408" spans="2:9" x14ac:dyDescent="0.2">
      <c r="B408" s="192" t="str">
        <f t="shared" si="15"/>
        <v/>
      </c>
      <c r="C408" s="88"/>
      <c r="D408" s="88"/>
      <c r="E408" s="88"/>
      <c r="F408" s="88"/>
      <c r="G408" s="22" t="str">
        <f t="shared" si="16"/>
        <v/>
      </c>
      <c r="H408" s="22" t="str">
        <f>IFERROR(IF(Yearending&gt;B407,'5. Historical demand'!F408-'5. Historical demand'!C408-'5. Historical demand'!D408,""),"")</f>
        <v/>
      </c>
      <c r="I408" s="22" t="str">
        <f t="shared" si="17"/>
        <v/>
      </c>
    </row>
  </sheetData>
  <sheetProtection algorithmName="SHA-512" hashValue="mkMn1Fe8UVEj6w7vWtHh7aSgEmE+1UpGz9VjZUDBBro9DiDYUy8h44Qy9HVcK3I1c1LKFpIQdRiF8DRU6Fo3/g==" saltValue="ZJ4AWwdkL1LH8mSUGDay6Q==" spinCount="100000" sheet="1" objects="1" scenarios="1"/>
  <mergeCells count="1">
    <mergeCell ref="B6:D9"/>
  </mergeCells>
  <conditionalFormatting sqref="B43:B408">
    <cfRule type="containsErrors" dxfId="2" priority="1" stopIfTrue="1">
      <formula>ISERROR(B43)</formula>
    </cfRule>
  </conditionalFormatting>
  <hyperlinks>
    <hyperlink ref="D15" r:id="rId1" xr:uid="{70056346-520D-44A9-B9DF-82A2E6DF56ED}"/>
    <hyperlink ref="D17" r:id="rId2" xr:uid="{F1F13AD9-3F64-4E15-8931-0928F58D456E}"/>
    <hyperlink ref="D18" r:id="rId3" xr:uid="{F1374011-63F0-4457-926A-F19A24E4485D}"/>
    <hyperlink ref="D16" r:id="rId4" xr:uid="{E64C9560-FC25-4F2F-B358-0040DCF91D89}"/>
  </hyperlinks>
  <pageMargins left="0.25" right="0.25" top="0.75" bottom="0.75" header="0.3" footer="0.3"/>
  <pageSetup paperSize="9" scale="62" fitToHeight="0" orientation="portrait" r:id="rId5"/>
  <headerFooter alignWithMargins="0"/>
  <drawing r:id="rId6"/>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17415D"/>
    <pageSetUpPr fitToPage="1"/>
  </sheetPr>
  <dimension ref="A1:K195"/>
  <sheetViews>
    <sheetView showGridLines="0" zoomScale="107" zoomScaleNormal="100" workbookViewId="0">
      <pane xSplit="1" ySplit="13" topLeftCell="B14" activePane="bottomRight" state="frozen"/>
      <selection activeCell="A35" sqref="A35"/>
      <selection pane="topRight" activeCell="A35" sqref="A35"/>
      <selection pane="bottomLeft" activeCell="A35" sqref="A35"/>
      <selection pane="bottomRight" activeCell="B14" sqref="B14"/>
    </sheetView>
  </sheetViews>
  <sheetFormatPr defaultColWidth="9.140625" defaultRowHeight="12.75" x14ac:dyDescent="0.2"/>
  <cols>
    <col min="1" max="1" width="11.85546875" style="190" customWidth="1"/>
    <col min="2" max="2" width="57.85546875" style="190" customWidth="1"/>
    <col min="3" max="3" width="44.85546875" style="190" customWidth="1"/>
    <col min="4" max="11" width="39" style="190" customWidth="1"/>
    <col min="12" max="16384" width="9.140625" style="190"/>
  </cols>
  <sheetData>
    <row r="1" spans="1:4" ht="20.25" x14ac:dyDescent="0.2">
      <c r="A1" s="191"/>
      <c r="B1" s="136" t="s">
        <v>53</v>
      </c>
      <c r="C1" s="136"/>
    </row>
    <row r="2" spans="1:4" ht="20.25" x14ac:dyDescent="0.2">
      <c r="A2" s="191"/>
      <c r="B2" s="136" t="str">
        <f>IF(Tradingname=0," ",Tradingname)</f>
        <v>SEA Gas Partnership</v>
      </c>
      <c r="C2" s="136"/>
    </row>
    <row r="3" spans="1:4" ht="20.25" x14ac:dyDescent="0.3">
      <c r="B3" s="136" t="s">
        <v>30</v>
      </c>
      <c r="C3" s="105">
        <f>IF(Yearending=0, "0/01/2000", Yearending)</f>
        <v>45838</v>
      </c>
    </row>
    <row r="4" spans="1:4" ht="20.25" x14ac:dyDescent="0.2">
      <c r="B4" s="97" t="s">
        <v>401</v>
      </c>
      <c r="C4" s="97"/>
    </row>
    <row r="5" spans="1:4" x14ac:dyDescent="0.2">
      <c r="B5" s="190" t="s">
        <v>402</v>
      </c>
    </row>
    <row r="6" spans="1:4" ht="15.75" x14ac:dyDescent="0.25">
      <c r="B6" s="189"/>
    </row>
    <row r="7" spans="1:4" ht="12.75" customHeight="1" x14ac:dyDescent="0.2">
      <c r="B7" s="404" t="s">
        <v>403</v>
      </c>
      <c r="C7" s="404"/>
      <c r="D7" s="404"/>
    </row>
    <row r="8" spans="1:4" ht="12.75" customHeight="1" x14ac:dyDescent="0.2">
      <c r="B8" s="404"/>
      <c r="C8" s="404"/>
      <c r="D8" s="404"/>
    </row>
    <row r="9" spans="1:4" ht="12.75" customHeight="1" x14ac:dyDescent="0.2">
      <c r="B9" s="404"/>
      <c r="C9" s="404"/>
      <c r="D9" s="404"/>
    </row>
    <row r="10" spans="1:4" ht="12.75" customHeight="1" x14ac:dyDescent="0.2">
      <c r="B10" s="404"/>
      <c r="C10" s="404"/>
      <c r="D10" s="404"/>
    </row>
    <row r="11" spans="1:4" ht="12.75" customHeight="1" x14ac:dyDescent="0.2">
      <c r="B11" s="404"/>
      <c r="C11" s="404"/>
      <c r="D11" s="404"/>
    </row>
    <row r="12" spans="1:4" ht="12.75" customHeight="1" x14ac:dyDescent="0.2">
      <c r="B12" s="404"/>
      <c r="C12" s="404"/>
      <c r="D12" s="404"/>
    </row>
    <row r="13" spans="1:4" ht="12.75" customHeight="1" x14ac:dyDescent="0.2">
      <c r="B13" s="404"/>
      <c r="C13" s="404"/>
      <c r="D13" s="404"/>
    </row>
    <row r="16" spans="1:4" ht="12.75" customHeight="1" x14ac:dyDescent="0.25">
      <c r="B16" s="189" t="s">
        <v>404</v>
      </c>
    </row>
    <row r="17" spans="2:5" ht="12.75" customHeight="1" x14ac:dyDescent="0.25">
      <c r="B17" s="189"/>
    </row>
    <row r="18" spans="2:5" x14ac:dyDescent="0.2">
      <c r="B18" s="399" t="s">
        <v>405</v>
      </c>
      <c r="C18" s="401"/>
      <c r="D18" s="399" t="s">
        <v>406</v>
      </c>
      <c r="E18" s="401"/>
    </row>
    <row r="19" spans="2:5" x14ac:dyDescent="0.2">
      <c r="B19" s="436" t="s">
        <v>113</v>
      </c>
      <c r="C19" s="220" t="s">
        <v>407</v>
      </c>
      <c r="D19" s="442" t="s">
        <v>113</v>
      </c>
      <c r="E19" s="438" t="s">
        <v>163</v>
      </c>
    </row>
    <row r="20" spans="2:5" x14ac:dyDescent="0.2">
      <c r="B20" s="437"/>
      <c r="C20" s="117" t="s">
        <v>163</v>
      </c>
      <c r="D20" s="443"/>
      <c r="E20" s="439"/>
    </row>
    <row r="21" spans="2:5" x14ac:dyDescent="0.2">
      <c r="B21" s="118" t="s">
        <v>78</v>
      </c>
      <c r="C21" s="199">
        <v>0.38658134779544534</v>
      </c>
      <c r="D21" s="188" t="s">
        <v>408</v>
      </c>
      <c r="E21" s="199">
        <v>5.7099999999999998E-2</v>
      </c>
    </row>
    <row r="22" spans="2:5" x14ac:dyDescent="0.2">
      <c r="B22" s="118" t="s">
        <v>80</v>
      </c>
      <c r="C22" s="199">
        <v>1.5152480222413597E-3</v>
      </c>
      <c r="D22" s="188" t="s">
        <v>409</v>
      </c>
      <c r="E22" s="198">
        <v>0.6</v>
      </c>
    </row>
    <row r="23" spans="2:5" x14ac:dyDescent="0.2">
      <c r="B23" s="118" t="s">
        <v>81</v>
      </c>
      <c r="C23" s="199">
        <v>4.156764088483856E-2</v>
      </c>
      <c r="D23" s="188" t="s">
        <v>410</v>
      </c>
      <c r="E23" s="198">
        <v>0.3</v>
      </c>
    </row>
    <row r="24" spans="2:5" x14ac:dyDescent="0.2">
      <c r="B24" s="118" t="s">
        <v>82</v>
      </c>
      <c r="C24" s="199">
        <v>0</v>
      </c>
      <c r="D24" s="188" t="s">
        <v>411</v>
      </c>
      <c r="E24" s="198">
        <v>0.4</v>
      </c>
    </row>
    <row r="25" spans="2:5" x14ac:dyDescent="0.2">
      <c r="B25" s="194" t="s">
        <v>83</v>
      </c>
      <c r="C25" s="199">
        <v>0</v>
      </c>
      <c r="D25" s="187" t="s">
        <v>412</v>
      </c>
      <c r="E25" s="199">
        <v>6.3399999999999998E-2</v>
      </c>
    </row>
    <row r="26" spans="2:5" x14ac:dyDescent="0.2">
      <c r="B26" s="118" t="s">
        <v>84</v>
      </c>
      <c r="C26" s="199">
        <v>0.44105263676124146</v>
      </c>
      <c r="D26" s="24"/>
      <c r="E26" s="24"/>
    </row>
    <row r="27" spans="2:5" x14ac:dyDescent="0.2">
      <c r="B27" s="118" t="s">
        <v>85</v>
      </c>
      <c r="C27" s="199">
        <v>0</v>
      </c>
      <c r="D27" s="24"/>
      <c r="E27" s="24"/>
    </row>
    <row r="28" spans="2:5" x14ac:dyDescent="0.2">
      <c r="B28" s="118" t="s">
        <v>86</v>
      </c>
      <c r="C28" s="199">
        <v>0</v>
      </c>
      <c r="D28" s="24"/>
      <c r="E28" s="24"/>
    </row>
    <row r="29" spans="2:5" x14ac:dyDescent="0.2">
      <c r="B29" s="118" t="s">
        <v>88</v>
      </c>
      <c r="C29" s="199">
        <v>0</v>
      </c>
      <c r="D29" s="24"/>
      <c r="E29" s="24"/>
    </row>
    <row r="30" spans="2:5" x14ac:dyDescent="0.2">
      <c r="B30" s="118" t="s">
        <v>90</v>
      </c>
      <c r="C30" s="199">
        <v>0.12928312653623317</v>
      </c>
      <c r="D30" s="24"/>
      <c r="E30" s="24"/>
    </row>
    <row r="31" spans="2:5" x14ac:dyDescent="0.2">
      <c r="B31" s="186" t="s">
        <v>56</v>
      </c>
      <c r="C31" s="122">
        <f>SUM(C21:C30)</f>
        <v>0.99999999999999989</v>
      </c>
      <c r="D31" s="24"/>
      <c r="E31" s="24"/>
    </row>
    <row r="34" spans="2:8" ht="15.75" x14ac:dyDescent="0.25">
      <c r="B34" s="189" t="s">
        <v>413</v>
      </c>
      <c r="C34" s="189"/>
    </row>
    <row r="36" spans="2:8" x14ac:dyDescent="0.2">
      <c r="B36" s="185"/>
      <c r="C36" s="185"/>
      <c r="D36" s="185" t="s">
        <v>414</v>
      </c>
      <c r="E36" s="185" t="s">
        <v>415</v>
      </c>
      <c r="F36" s="185" t="s">
        <v>416</v>
      </c>
      <c r="G36" s="185" t="s">
        <v>74</v>
      </c>
      <c r="H36" s="185" t="s">
        <v>75</v>
      </c>
    </row>
    <row r="37" spans="2:8" x14ac:dyDescent="0.2">
      <c r="B37" s="440" t="s">
        <v>78</v>
      </c>
      <c r="C37" s="185" t="s">
        <v>76</v>
      </c>
      <c r="D37" s="184">
        <f>MIN(C64:D64)</f>
        <v>0.18323912526268807</v>
      </c>
      <c r="E37" s="184">
        <f>MIN(E64:G64)</f>
        <v>0</v>
      </c>
      <c r="F37" s="184">
        <f>MIN(H64,J64)+MIN(I64,K64)</f>
        <v>0.2364498171807502</v>
      </c>
      <c r="G37" s="184">
        <f t="shared" ref="G37:G56" si="0">SUM(D37:F37)</f>
        <v>0.41968894244343824</v>
      </c>
      <c r="H37" s="444" t="s">
        <v>79</v>
      </c>
    </row>
    <row r="38" spans="2:8" x14ac:dyDescent="0.2">
      <c r="B38" s="441"/>
      <c r="C38" s="185" t="s">
        <v>77</v>
      </c>
      <c r="D38" s="184">
        <f>MAX(C64:D64)</f>
        <v>0.27111039011667903</v>
      </c>
      <c r="E38" s="184">
        <f>MAX(E64:G64)</f>
        <v>0.15532246610356965</v>
      </c>
      <c r="F38" s="184">
        <f>MAX(H64,J64)+MAX(I64,K64)</f>
        <v>0.2364498171807502</v>
      </c>
      <c r="G38" s="184">
        <f t="shared" si="0"/>
        <v>0.66288267340099893</v>
      </c>
      <c r="H38" s="444"/>
    </row>
    <row r="39" spans="2:8" x14ac:dyDescent="0.2">
      <c r="B39" s="440" t="s">
        <v>80</v>
      </c>
      <c r="C39" s="185" t="s">
        <v>76</v>
      </c>
      <c r="D39" s="184">
        <f>MIN(C65:D65)</f>
        <v>0</v>
      </c>
      <c r="E39" s="184">
        <f>MIN(E65:G65)</f>
        <v>0</v>
      </c>
      <c r="F39" s="184">
        <f>MIN(H65,J65)+MIN(I65,K65)</f>
        <v>0</v>
      </c>
      <c r="G39" s="184">
        <f t="shared" si="0"/>
        <v>0</v>
      </c>
      <c r="H39" s="444" t="s">
        <v>79</v>
      </c>
    </row>
    <row r="40" spans="2:8" x14ac:dyDescent="0.2">
      <c r="B40" s="441"/>
      <c r="C40" s="185" t="s">
        <v>77</v>
      </c>
      <c r="D40" s="184">
        <f>MAX(C65:D65)</f>
        <v>0</v>
      </c>
      <c r="E40" s="184">
        <f>MAX(E65:G65)</f>
        <v>0</v>
      </c>
      <c r="F40" s="184">
        <f>MAX(H65,J65)+MAX(I65,K65)</f>
        <v>0</v>
      </c>
      <c r="G40" s="184">
        <f t="shared" si="0"/>
        <v>0</v>
      </c>
      <c r="H40" s="444"/>
    </row>
    <row r="41" spans="2:8" x14ac:dyDescent="0.2">
      <c r="B41" s="440" t="s">
        <v>81</v>
      </c>
      <c r="C41" s="185" t="s">
        <v>76</v>
      </c>
      <c r="D41" s="184">
        <f>MIN(C66:D66)</f>
        <v>0</v>
      </c>
      <c r="E41" s="184">
        <f>MIN(E66:G66)</f>
        <v>0</v>
      </c>
      <c r="F41" s="184">
        <f>MIN(H66,J66)+MIN(I66,K66)</f>
        <v>0</v>
      </c>
      <c r="G41" s="184">
        <f t="shared" si="0"/>
        <v>0</v>
      </c>
      <c r="H41" s="444" t="s">
        <v>79</v>
      </c>
    </row>
    <row r="42" spans="2:8" x14ac:dyDescent="0.2">
      <c r="B42" s="441"/>
      <c r="C42" s="185" t="s">
        <v>77</v>
      </c>
      <c r="D42" s="184">
        <f>MAX(C66:D66)</f>
        <v>0</v>
      </c>
      <c r="E42" s="184">
        <f>MAX(E66:G66)</f>
        <v>0</v>
      </c>
      <c r="F42" s="184">
        <f>MAX(H66,J66)+MAX(I66,K66)</f>
        <v>0</v>
      </c>
      <c r="G42" s="184">
        <f t="shared" si="0"/>
        <v>0</v>
      </c>
      <c r="H42" s="444"/>
    </row>
    <row r="43" spans="2:8" x14ac:dyDescent="0.2">
      <c r="B43" s="440" t="s">
        <v>82</v>
      </c>
      <c r="C43" s="185" t="s">
        <v>76</v>
      </c>
      <c r="D43" s="184">
        <f>MIN(C67:D67)</f>
        <v>0</v>
      </c>
      <c r="E43" s="184">
        <f>MIN(E67:G67)</f>
        <v>0</v>
      </c>
      <c r="F43" s="184">
        <f>MIN(H67,J67)+MIN(I67,K67)</f>
        <v>0</v>
      </c>
      <c r="G43" s="184">
        <f t="shared" si="0"/>
        <v>0</v>
      </c>
      <c r="H43" s="444" t="s">
        <v>79</v>
      </c>
    </row>
    <row r="44" spans="2:8" x14ac:dyDescent="0.2">
      <c r="B44" s="441"/>
      <c r="C44" s="185" t="s">
        <v>77</v>
      </c>
      <c r="D44" s="184">
        <f>MAX(C67:D67)</f>
        <v>0</v>
      </c>
      <c r="E44" s="184">
        <f>MAX(E67:G67)</f>
        <v>0</v>
      </c>
      <c r="F44" s="184">
        <f>MAX(H67,J67)+MAX(I67,K67)</f>
        <v>0</v>
      </c>
      <c r="G44" s="184">
        <f t="shared" si="0"/>
        <v>0</v>
      </c>
      <c r="H44" s="444"/>
    </row>
    <row r="45" spans="2:8" x14ac:dyDescent="0.2">
      <c r="B45" s="440" t="s">
        <v>83</v>
      </c>
      <c r="C45" s="185" t="s">
        <v>76</v>
      </c>
      <c r="D45" s="184">
        <f>MIN(C68:D68)</f>
        <v>0</v>
      </c>
      <c r="E45" s="184">
        <f>MIN(E68:G68)</f>
        <v>0</v>
      </c>
      <c r="F45" s="184">
        <f>MIN(H68,J68)+MIN(I68,K68)</f>
        <v>0</v>
      </c>
      <c r="G45" s="184">
        <f t="shared" si="0"/>
        <v>0</v>
      </c>
      <c r="H45" s="444" t="s">
        <v>79</v>
      </c>
    </row>
    <row r="46" spans="2:8" x14ac:dyDescent="0.2">
      <c r="B46" s="441"/>
      <c r="C46" s="185" t="s">
        <v>77</v>
      </c>
      <c r="D46" s="184">
        <f>MAX(C68:D68)</f>
        <v>0</v>
      </c>
      <c r="E46" s="184">
        <f>MAX(E68:G68)</f>
        <v>0</v>
      </c>
      <c r="F46" s="184">
        <f>MAX(H68,J68)+MAX(I68,K68)</f>
        <v>0</v>
      </c>
      <c r="G46" s="184">
        <f t="shared" si="0"/>
        <v>0</v>
      </c>
      <c r="H46" s="444"/>
    </row>
    <row r="47" spans="2:8" x14ac:dyDescent="0.2">
      <c r="B47" s="440" t="s">
        <v>84</v>
      </c>
      <c r="C47" s="185" t="s">
        <v>76</v>
      </c>
      <c r="D47" s="184">
        <f>MIN(C69:D69)</f>
        <v>9.1689579978817229E-2</v>
      </c>
      <c r="E47" s="184">
        <f>MIN(E69:G69)</f>
        <v>0</v>
      </c>
      <c r="F47" s="184">
        <f>MIN(H69,J69)+MIN(I69,K69)</f>
        <v>0.11827765984763092</v>
      </c>
      <c r="G47" s="184">
        <f t="shared" si="0"/>
        <v>0.20996723982644816</v>
      </c>
      <c r="H47" s="444" t="s">
        <v>79</v>
      </c>
    </row>
    <row r="48" spans="2:8" x14ac:dyDescent="0.2">
      <c r="B48" s="441"/>
      <c r="C48" s="185" t="s">
        <v>77</v>
      </c>
      <c r="D48" s="184">
        <f>MAX(C69:D69)</f>
        <v>0.13565878882064972</v>
      </c>
      <c r="E48" s="184">
        <f>MAX(E69:G69)</f>
        <v>7.7720583188192513E-2</v>
      </c>
      <c r="F48" s="184">
        <f>MAX(H69,J69)+MAX(I69,K69)</f>
        <v>0.11827765984763092</v>
      </c>
      <c r="G48" s="184">
        <f t="shared" si="0"/>
        <v>0.33165703185647311</v>
      </c>
      <c r="H48" s="444"/>
    </row>
    <row r="49" spans="2:11" x14ac:dyDescent="0.2">
      <c r="B49" s="440" t="s">
        <v>85</v>
      </c>
      <c r="C49" s="185" t="s">
        <v>76</v>
      </c>
      <c r="D49" s="184">
        <f>MIN(C70:D70)</f>
        <v>0</v>
      </c>
      <c r="E49" s="184">
        <f>MIN(E70:G70)</f>
        <v>0</v>
      </c>
      <c r="F49" s="184">
        <f>MIN(H70,J70)+MIN(I70,K70)</f>
        <v>0</v>
      </c>
      <c r="G49" s="184">
        <f t="shared" si="0"/>
        <v>0</v>
      </c>
      <c r="H49" s="444" t="s">
        <v>79</v>
      </c>
    </row>
    <row r="50" spans="2:11" x14ac:dyDescent="0.2">
      <c r="B50" s="441"/>
      <c r="C50" s="185" t="s">
        <v>77</v>
      </c>
      <c r="D50" s="184">
        <f>MAX(C70:D70)</f>
        <v>0</v>
      </c>
      <c r="E50" s="184">
        <f>MAX(E70:G70)</f>
        <v>0</v>
      </c>
      <c r="F50" s="184">
        <f>MAX(H70,J70)+MAX(I70,K70)</f>
        <v>0</v>
      </c>
      <c r="G50" s="184">
        <f t="shared" si="0"/>
        <v>0</v>
      </c>
      <c r="H50" s="444"/>
    </row>
    <row r="51" spans="2:11" x14ac:dyDescent="0.2">
      <c r="B51" s="440" t="s">
        <v>86</v>
      </c>
      <c r="C51" s="185" t="s">
        <v>76</v>
      </c>
      <c r="D51" s="184">
        <f>MIN(C71:D71)</f>
        <v>0</v>
      </c>
      <c r="E51" s="184">
        <f>MIN(E71:G71)</f>
        <v>0</v>
      </c>
      <c r="F51" s="184">
        <f>MIN(H71,J71)+MIN(I71,K71)</f>
        <v>0</v>
      </c>
      <c r="G51" s="184">
        <f t="shared" si="0"/>
        <v>0</v>
      </c>
      <c r="H51" s="444" t="s">
        <v>87</v>
      </c>
    </row>
    <row r="52" spans="2:11" x14ac:dyDescent="0.2">
      <c r="B52" s="441"/>
      <c r="C52" s="185" t="s">
        <v>77</v>
      </c>
      <c r="D52" s="184">
        <f>MAX(C71:D71)</f>
        <v>0</v>
      </c>
      <c r="E52" s="184">
        <f>MAX(E71:G71)</f>
        <v>0</v>
      </c>
      <c r="F52" s="184">
        <f>MAX(H71,J71)+MAX(I71,K71)</f>
        <v>0</v>
      </c>
      <c r="G52" s="184">
        <f t="shared" si="0"/>
        <v>0</v>
      </c>
      <c r="H52" s="444"/>
    </row>
    <row r="53" spans="2:11" x14ac:dyDescent="0.2">
      <c r="B53" s="440" t="s">
        <v>88</v>
      </c>
      <c r="C53" s="185" t="s">
        <v>76</v>
      </c>
      <c r="D53" s="184">
        <f>MIN(C72:D72)</f>
        <v>0</v>
      </c>
      <c r="E53" s="184">
        <f>MIN(E72:G72)</f>
        <v>0</v>
      </c>
      <c r="F53" s="184">
        <f>MIN(H72,J72)+MIN(I72,K72)</f>
        <v>0</v>
      </c>
      <c r="G53" s="184">
        <f t="shared" si="0"/>
        <v>0</v>
      </c>
      <c r="H53" s="444" t="s">
        <v>89</v>
      </c>
    </row>
    <row r="54" spans="2:11" x14ac:dyDescent="0.2">
      <c r="B54" s="441"/>
      <c r="C54" s="185" t="s">
        <v>77</v>
      </c>
      <c r="D54" s="184">
        <f>MAX(C72:D72)</f>
        <v>0</v>
      </c>
      <c r="E54" s="184">
        <f>MAX(E72:G72)</f>
        <v>0</v>
      </c>
      <c r="F54" s="184">
        <f>MAX(H72,J72)+MAX(I72,K72)</f>
        <v>0</v>
      </c>
      <c r="G54" s="184">
        <f t="shared" si="0"/>
        <v>0</v>
      </c>
      <c r="H54" s="444"/>
    </row>
    <row r="55" spans="2:11" x14ac:dyDescent="0.2">
      <c r="B55" s="440" t="s">
        <v>90</v>
      </c>
      <c r="C55" s="185" t="s">
        <v>76</v>
      </c>
      <c r="D55" s="184">
        <f>MIN(C73:D73)</f>
        <v>0</v>
      </c>
      <c r="E55" s="184">
        <f>MIN(E73:G73)</f>
        <v>0</v>
      </c>
      <c r="F55" s="184">
        <f>MIN(H73,J73)+MIN(I73,K73)</f>
        <v>0</v>
      </c>
      <c r="G55" s="184">
        <f t="shared" si="0"/>
        <v>0</v>
      </c>
      <c r="H55" s="444"/>
    </row>
    <row r="56" spans="2:11" x14ac:dyDescent="0.2">
      <c r="B56" s="441"/>
      <c r="C56" s="185" t="s">
        <v>77</v>
      </c>
      <c r="D56" s="184">
        <f>MAX(C73:D73)</f>
        <v>0</v>
      </c>
      <c r="E56" s="184">
        <f>MAX(E73:G73)</f>
        <v>0</v>
      </c>
      <c r="F56" s="184">
        <f>MAX(H73,J73)+MAX(I73,K73)</f>
        <v>0</v>
      </c>
      <c r="G56" s="184">
        <f t="shared" si="0"/>
        <v>0</v>
      </c>
      <c r="H56" s="444"/>
    </row>
    <row r="59" spans="2:11" ht="15.75" x14ac:dyDescent="0.25">
      <c r="B59" s="189" t="s">
        <v>417</v>
      </c>
    </row>
    <row r="60" spans="2:11" ht="16.5" thickBot="1" x14ac:dyDescent="0.3">
      <c r="B60" s="183" t="s">
        <v>418</v>
      </c>
    </row>
    <row r="61" spans="2:11" s="181" customFormat="1" ht="13.5" thickBot="1" x14ac:dyDescent="0.25">
      <c r="B61" s="182"/>
      <c r="C61" s="427" t="s">
        <v>419</v>
      </c>
      <c r="D61" s="429"/>
      <c r="E61" s="427" t="s">
        <v>420</v>
      </c>
      <c r="F61" s="428"/>
      <c r="G61" s="429"/>
      <c r="H61" s="424" t="s">
        <v>421</v>
      </c>
      <c r="I61" s="425"/>
      <c r="J61" s="425"/>
      <c r="K61" s="426"/>
    </row>
    <row r="62" spans="2:11" s="181" customFormat="1" x14ac:dyDescent="0.2">
      <c r="B62" s="182"/>
      <c r="C62" s="430" t="s">
        <v>422</v>
      </c>
      <c r="D62" s="434" t="s">
        <v>423</v>
      </c>
      <c r="E62" s="430" t="s">
        <v>424</v>
      </c>
      <c r="F62" s="432" t="s">
        <v>425</v>
      </c>
      <c r="G62" s="434" t="s">
        <v>426</v>
      </c>
      <c r="H62" s="427" t="s">
        <v>427</v>
      </c>
      <c r="I62" s="429"/>
      <c r="J62" s="422" t="s">
        <v>428</v>
      </c>
      <c r="K62" s="423"/>
    </row>
    <row r="63" spans="2:11" s="181" customFormat="1" x14ac:dyDescent="0.2">
      <c r="B63" s="182"/>
      <c r="C63" s="431"/>
      <c r="D63" s="435"/>
      <c r="E63" s="431"/>
      <c r="F63" s="433"/>
      <c r="G63" s="435"/>
      <c r="H63" s="180" t="s">
        <v>429</v>
      </c>
      <c r="I63" s="219" t="s">
        <v>430</v>
      </c>
      <c r="J63" s="180" t="s">
        <v>429</v>
      </c>
      <c r="K63" s="219" t="s">
        <v>430</v>
      </c>
    </row>
    <row r="64" spans="2:11" x14ac:dyDescent="0.2">
      <c r="B64" s="118" t="s">
        <v>78</v>
      </c>
      <c r="C64" s="179">
        <f>INDEX($F$79:$G$88,MATCH($B64,$B$79:$B$88,0),MATCH(C$62,$F$78:$G$78,0))</f>
        <v>0.27111039011667903</v>
      </c>
      <c r="D64" s="178">
        <f>INDEX($F$79:$G$88,MATCH($B64,$B$79:$B$88,0),MATCH(D$62,$F$78:$G$78,0))</f>
        <v>0.18323912526268807</v>
      </c>
      <c r="E64" s="179">
        <f t="shared" ref="E64:F73" si="1">F104</f>
        <v>0.15532246610356965</v>
      </c>
      <c r="F64" s="177">
        <f t="shared" si="1"/>
        <v>0.13182173232164787</v>
      </c>
      <c r="G64" s="178">
        <f t="shared" ref="G64:G73" si="2">G116</f>
        <v>0</v>
      </c>
      <c r="H64" s="179" t="str">
        <f>I137</f>
        <v xml:space="preserve"> - </v>
      </c>
      <c r="I64" s="178" t="str">
        <f>J137</f>
        <v xml:space="preserve"> - </v>
      </c>
      <c r="J64" s="179">
        <f>I149</f>
        <v>0.21478011181609349</v>
      </c>
      <c r="K64" s="178">
        <f>J149</f>
        <v>2.1669705364656715E-2</v>
      </c>
    </row>
    <row r="65" spans="2:11" x14ac:dyDescent="0.2">
      <c r="B65" s="118" t="s">
        <v>80</v>
      </c>
      <c r="C65" s="179" t="str">
        <f t="shared" ref="C65:D73" si="3">INDEX($F$79:$G$88,MATCH($B65,$B$79:$B$88,0),MATCH(C$62,$F$78:$G$78,0))</f>
        <v xml:space="preserve"> -</v>
      </c>
      <c r="D65" s="178" t="str">
        <f t="shared" si="3"/>
        <v xml:space="preserve"> -</v>
      </c>
      <c r="E65" s="179" t="str">
        <f t="shared" si="1"/>
        <v xml:space="preserve"> - </v>
      </c>
      <c r="F65" s="177" t="str">
        <f t="shared" si="1"/>
        <v xml:space="preserve"> - </v>
      </c>
      <c r="G65" s="178" t="str">
        <f t="shared" si="2"/>
        <v xml:space="preserve"> - </v>
      </c>
      <c r="H65" s="179" t="str">
        <f t="shared" ref="H65:I73" si="4">I138</f>
        <v xml:space="preserve"> - </v>
      </c>
      <c r="I65" s="178" t="str">
        <f t="shared" si="4"/>
        <v xml:space="preserve"> - </v>
      </c>
      <c r="J65" s="179" t="str">
        <f t="shared" ref="J65:K73" si="5">I150</f>
        <v xml:space="preserve"> - </v>
      </c>
      <c r="K65" s="178" t="str">
        <f t="shared" si="5"/>
        <v xml:space="preserve"> - </v>
      </c>
    </row>
    <row r="66" spans="2:11" x14ac:dyDescent="0.2">
      <c r="B66" s="118" t="s">
        <v>81</v>
      </c>
      <c r="C66" s="179" t="str">
        <f t="shared" si="3"/>
        <v xml:space="preserve"> -</v>
      </c>
      <c r="D66" s="178" t="str">
        <f t="shared" si="3"/>
        <v xml:space="preserve"> -</v>
      </c>
      <c r="E66" s="179" t="str">
        <f t="shared" si="1"/>
        <v xml:space="preserve"> - </v>
      </c>
      <c r="F66" s="177" t="str">
        <f t="shared" si="1"/>
        <v xml:space="preserve"> - </v>
      </c>
      <c r="G66" s="178" t="str">
        <f t="shared" si="2"/>
        <v xml:space="preserve"> - </v>
      </c>
      <c r="H66" s="179" t="str">
        <f t="shared" si="4"/>
        <v xml:space="preserve"> - </v>
      </c>
      <c r="I66" s="178" t="str">
        <f t="shared" si="4"/>
        <v xml:space="preserve"> - </v>
      </c>
      <c r="J66" s="179" t="str">
        <f>I151</f>
        <v xml:space="preserve"> - </v>
      </c>
      <c r="K66" s="178" t="str">
        <f t="shared" si="5"/>
        <v xml:space="preserve"> - </v>
      </c>
    </row>
    <row r="67" spans="2:11" x14ac:dyDescent="0.2">
      <c r="B67" s="118" t="s">
        <v>82</v>
      </c>
      <c r="C67" s="179" t="str">
        <f t="shared" si="3"/>
        <v xml:space="preserve"> -</v>
      </c>
      <c r="D67" s="178" t="str">
        <f t="shared" si="3"/>
        <v xml:space="preserve"> -</v>
      </c>
      <c r="E67" s="179" t="str">
        <f t="shared" si="1"/>
        <v xml:space="preserve"> - </v>
      </c>
      <c r="F67" s="177" t="str">
        <f t="shared" si="1"/>
        <v xml:space="preserve"> - </v>
      </c>
      <c r="G67" s="178" t="str">
        <f t="shared" si="2"/>
        <v xml:space="preserve"> - </v>
      </c>
      <c r="H67" s="179" t="str">
        <f t="shared" si="4"/>
        <v xml:space="preserve"> - </v>
      </c>
      <c r="I67" s="178" t="str">
        <f t="shared" si="4"/>
        <v xml:space="preserve"> - </v>
      </c>
      <c r="J67" s="179" t="str">
        <f t="shared" si="5"/>
        <v xml:space="preserve"> - </v>
      </c>
      <c r="K67" s="178" t="str">
        <f t="shared" si="5"/>
        <v xml:space="preserve"> - </v>
      </c>
    </row>
    <row r="68" spans="2:11" x14ac:dyDescent="0.2">
      <c r="B68" s="194" t="s">
        <v>83</v>
      </c>
      <c r="C68" s="179" t="str">
        <f t="shared" si="3"/>
        <v xml:space="preserve"> -</v>
      </c>
      <c r="D68" s="178" t="str">
        <f t="shared" si="3"/>
        <v xml:space="preserve"> -</v>
      </c>
      <c r="E68" s="179" t="str">
        <f t="shared" si="1"/>
        <v xml:space="preserve"> - </v>
      </c>
      <c r="F68" s="177" t="str">
        <f t="shared" si="1"/>
        <v xml:space="preserve"> - </v>
      </c>
      <c r="G68" s="178" t="str">
        <f t="shared" si="2"/>
        <v xml:space="preserve"> - </v>
      </c>
      <c r="H68" s="179" t="str">
        <f t="shared" si="4"/>
        <v xml:space="preserve"> - </v>
      </c>
      <c r="I68" s="178" t="str">
        <f t="shared" si="4"/>
        <v xml:space="preserve"> - </v>
      </c>
      <c r="J68" s="179" t="str">
        <f t="shared" si="5"/>
        <v xml:space="preserve"> - </v>
      </c>
      <c r="K68" s="178" t="str">
        <f t="shared" si="5"/>
        <v xml:space="preserve"> - </v>
      </c>
    </row>
    <row r="69" spans="2:11" x14ac:dyDescent="0.2">
      <c r="B69" s="118" t="s">
        <v>84</v>
      </c>
      <c r="C69" s="179">
        <f t="shared" si="3"/>
        <v>0.13565878882064972</v>
      </c>
      <c r="D69" s="178">
        <f t="shared" si="3"/>
        <v>9.1689579978817229E-2</v>
      </c>
      <c r="E69" s="179">
        <f t="shared" si="1"/>
        <v>7.7720583188192513E-2</v>
      </c>
      <c r="F69" s="177">
        <f t="shared" si="1"/>
        <v>6.5961236451684307E-2</v>
      </c>
      <c r="G69" s="178">
        <f t="shared" si="2"/>
        <v>0</v>
      </c>
      <c r="H69" s="179" t="str">
        <f t="shared" si="4"/>
        <v xml:space="preserve"> - </v>
      </c>
      <c r="I69" s="178" t="str">
        <f>J142</f>
        <v xml:space="preserve"> - </v>
      </c>
      <c r="J69" s="179">
        <f t="shared" si="5"/>
        <v>0.10743797271790911</v>
      </c>
      <c r="K69" s="178">
        <f t="shared" si="5"/>
        <v>1.08396871297218E-2</v>
      </c>
    </row>
    <row r="70" spans="2:11" x14ac:dyDescent="0.2">
      <c r="B70" s="118" t="s">
        <v>85</v>
      </c>
      <c r="C70" s="179" t="str">
        <f t="shared" si="3"/>
        <v xml:space="preserve"> -</v>
      </c>
      <c r="D70" s="178" t="str">
        <f t="shared" si="3"/>
        <v xml:space="preserve"> -</v>
      </c>
      <c r="E70" s="179" t="str">
        <f t="shared" si="1"/>
        <v xml:space="preserve"> - </v>
      </c>
      <c r="F70" s="177" t="str">
        <f t="shared" si="1"/>
        <v xml:space="preserve"> - </v>
      </c>
      <c r="G70" s="178" t="str">
        <f t="shared" si="2"/>
        <v xml:space="preserve"> - </v>
      </c>
      <c r="H70" s="179" t="str">
        <f t="shared" si="4"/>
        <v xml:space="preserve"> - </v>
      </c>
      <c r="I70" s="178" t="str">
        <f t="shared" si="4"/>
        <v xml:space="preserve"> - </v>
      </c>
      <c r="J70" s="179" t="str">
        <f t="shared" si="5"/>
        <v xml:space="preserve"> - </v>
      </c>
      <c r="K70" s="178" t="str">
        <f>J155</f>
        <v xml:space="preserve"> - </v>
      </c>
    </row>
    <row r="71" spans="2:11" x14ac:dyDescent="0.2">
      <c r="B71" s="118" t="s">
        <v>86</v>
      </c>
      <c r="C71" s="179" t="str">
        <f t="shared" si="3"/>
        <v xml:space="preserve"> -</v>
      </c>
      <c r="D71" s="178" t="str">
        <f t="shared" si="3"/>
        <v xml:space="preserve"> -</v>
      </c>
      <c r="E71" s="179" t="str">
        <f t="shared" si="1"/>
        <v xml:space="preserve"> - </v>
      </c>
      <c r="F71" s="177" t="str">
        <f t="shared" si="1"/>
        <v xml:space="preserve"> - </v>
      </c>
      <c r="G71" s="178" t="str">
        <f t="shared" si="2"/>
        <v xml:space="preserve"> - </v>
      </c>
      <c r="H71" s="179" t="str">
        <f>I144</f>
        <v xml:space="preserve"> - </v>
      </c>
      <c r="I71" s="178" t="str">
        <f t="shared" si="4"/>
        <v xml:space="preserve"> - </v>
      </c>
      <c r="J71" s="179" t="str">
        <f t="shared" si="5"/>
        <v xml:space="preserve"> - </v>
      </c>
      <c r="K71" s="178" t="str">
        <f t="shared" si="5"/>
        <v xml:space="preserve"> - </v>
      </c>
    </row>
    <row r="72" spans="2:11" x14ac:dyDescent="0.2">
      <c r="B72" s="118" t="s">
        <v>88</v>
      </c>
      <c r="C72" s="179" t="str">
        <f t="shared" si="3"/>
        <v xml:space="preserve"> -</v>
      </c>
      <c r="D72" s="178" t="str">
        <f t="shared" si="3"/>
        <v xml:space="preserve"> -</v>
      </c>
      <c r="E72" s="179" t="str">
        <f t="shared" si="1"/>
        <v xml:space="preserve"> - </v>
      </c>
      <c r="F72" s="177" t="str">
        <f t="shared" si="1"/>
        <v xml:space="preserve"> - </v>
      </c>
      <c r="G72" s="178" t="str">
        <f t="shared" si="2"/>
        <v xml:space="preserve"> - </v>
      </c>
      <c r="H72" s="179" t="str">
        <f t="shared" si="4"/>
        <v xml:space="preserve"> - </v>
      </c>
      <c r="I72" s="178" t="str">
        <f t="shared" si="4"/>
        <v xml:space="preserve"> - </v>
      </c>
      <c r="J72" s="179" t="str">
        <f t="shared" si="5"/>
        <v xml:space="preserve"> - </v>
      </c>
      <c r="K72" s="178" t="str">
        <f t="shared" si="5"/>
        <v xml:space="preserve"> - </v>
      </c>
    </row>
    <row r="73" spans="2:11" ht="13.5" thickBot="1" x14ac:dyDescent="0.25">
      <c r="B73" s="118" t="s">
        <v>90</v>
      </c>
      <c r="C73" s="176" t="str">
        <f t="shared" si="3"/>
        <v xml:space="preserve"> -</v>
      </c>
      <c r="D73" s="175" t="str">
        <f t="shared" si="3"/>
        <v xml:space="preserve"> -</v>
      </c>
      <c r="E73" s="176" t="str">
        <f t="shared" si="1"/>
        <v xml:space="preserve"> - </v>
      </c>
      <c r="F73" s="174" t="str">
        <f t="shared" si="1"/>
        <v xml:space="preserve"> - </v>
      </c>
      <c r="G73" s="175" t="str">
        <f t="shared" si="2"/>
        <v xml:space="preserve"> - </v>
      </c>
      <c r="H73" s="176" t="str">
        <f t="shared" si="4"/>
        <v xml:space="preserve"> - </v>
      </c>
      <c r="I73" s="175" t="str">
        <f t="shared" si="4"/>
        <v xml:space="preserve"> - </v>
      </c>
      <c r="J73" s="176" t="str">
        <f t="shared" si="5"/>
        <v xml:space="preserve"> - </v>
      </c>
      <c r="K73" s="175" t="str">
        <f t="shared" si="5"/>
        <v xml:space="preserve"> - </v>
      </c>
    </row>
    <row r="76" spans="2:11" ht="15.75" x14ac:dyDescent="0.25">
      <c r="B76" s="189" t="s">
        <v>431</v>
      </c>
    </row>
    <row r="77" spans="2:11" ht="15.75" x14ac:dyDescent="0.25">
      <c r="B77" s="183" t="s">
        <v>432</v>
      </c>
    </row>
    <row r="78" spans="2:11" s="171" customFormat="1" ht="24.75" customHeight="1" x14ac:dyDescent="0.2">
      <c r="B78" s="173" t="s">
        <v>433</v>
      </c>
      <c r="C78" s="172" t="s">
        <v>434</v>
      </c>
      <c r="D78" s="172" t="s">
        <v>435</v>
      </c>
      <c r="E78" s="172" t="s">
        <v>436</v>
      </c>
      <c r="F78" s="173" t="s">
        <v>422</v>
      </c>
      <c r="G78" s="173" t="s">
        <v>423</v>
      </c>
    </row>
    <row r="79" spans="2:11" x14ac:dyDescent="0.2">
      <c r="B79" s="118" t="s">
        <v>78</v>
      </c>
      <c r="C79" s="170">
        <f>ABS('2.1 Profit &amp; Loss by component'!$F$32*INDEX('2.2 Allocation to services'!$D$56:$D$65,MATCH('6. Pricing template'!B79,'2.2 Allocation to services'!$C$56:$C$65,0),1))+ABS('2.1 Profit &amp; Loss by component'!$F$43*INDEX('2.2 Allocation to services'!$D$80:$D$89,MATCH('6. Pricing template'!B79,'2.2 Allocation to services'!$C$80:$C$89,0),1))-ABS('2.1 Profit &amp; Loss by component'!$F$37+'2.1 Profit &amp; Loss by component'!$F$26)*INDEX('2.2 Allocation to services'!$D$68:$D$77,MATCH('6. Pricing template'!B79,'2.2 Allocation to services'!$C$68:$C$77,0),1)</f>
        <v>7847093.7844942063</v>
      </c>
      <c r="D79" s="170">
        <f>ABS('2.1 Profit &amp; Loss by component'!$F$32*INDEX('2.2 Allocation to services'!$D$56:$D$65,MATCH('6. Pricing template'!B79,'2.2 Allocation to services'!$C$56:$C$65,0),1))-ABS('2.1 Profit &amp; Loss by component'!$F$26)*INDEX('2.2 Allocation to services'!$D$68:$D$77,MATCH('6. Pricing template'!B79,'2.2 Allocation to services'!$C$68:$C$77,0),1)</f>
        <v>5303723.698328793</v>
      </c>
      <c r="E79" s="169">
        <f>INDEX('5. Historical demand'!$C$26:$C$35,MATCH('6. Pricing template'!B79,'5. Historical demand'!$B$26:$B$35,0),1)*(Yearending-Yearstart)</f>
        <v>28944.275360000094</v>
      </c>
      <c r="F79" s="168">
        <f>IFERROR(C79/(E79*1000)," -")</f>
        <v>0.27111039011667903</v>
      </c>
      <c r="G79" s="168">
        <f>IFERROR(D79/(E79*1000)," -")</f>
        <v>0.18323912526268807</v>
      </c>
    </row>
    <row r="80" spans="2:11" x14ac:dyDescent="0.2">
      <c r="B80" s="118" t="s">
        <v>80</v>
      </c>
      <c r="C80" s="170">
        <f>ABS('2.1 Profit &amp; Loss by component'!$F$32*INDEX('2.2 Allocation to services'!$D$56:$D$65,MATCH('6. Pricing template'!B80,'2.2 Allocation to services'!$C$56:$C$65,0),1))+ABS('2.1 Profit &amp; Loss by component'!$F$43*INDEX('2.2 Allocation to services'!$D$80:$D$89,MATCH('6. Pricing template'!B80,'2.2 Allocation to services'!$C$80:$C$89,0),1))-ABS('2.1 Profit &amp; Loss by component'!$F$37+'2.1 Profit &amp; Loss by component'!$F$26)*INDEX('2.2 Allocation to services'!$D$68:$D$77,MATCH('6. Pricing template'!B80,'2.2 Allocation to services'!$C$68:$C$77,0),1)</f>
        <v>30454.439008386311</v>
      </c>
      <c r="D80" s="170">
        <f>ABS('2.1 Profit &amp; Loss by component'!$F$32*INDEX('2.2 Allocation to services'!$D$56:$D$65,MATCH('6. Pricing template'!B80,'2.2 Allocation to services'!$C$56:$C$65,0),1))-ABS('2.1 Profit &amp; Loss by component'!$F$26)*INDEX('2.2 Allocation to services'!$D$68:$D$77,MATCH('6. Pricing template'!B80,'2.2 Allocation to services'!$C$68:$C$77,0),1)</f>
        <v>20583.662477343307</v>
      </c>
      <c r="E80" s="169">
        <f>INDEX('5. Historical demand'!$C$26:$C$35,MATCH('6. Pricing template'!B80,'5. Historical demand'!$B$26:$B$35,0),1)*(Yearending-Yearstart)</f>
        <v>0</v>
      </c>
      <c r="F80" s="168" t="str">
        <f t="shared" ref="F80:F88" si="6">IFERROR(C80/(E80*1000)," -")</f>
        <v xml:space="preserve"> -</v>
      </c>
      <c r="G80" s="168" t="str">
        <f t="shared" ref="G80:G88" si="7">IFERROR(D80/(E80*1000)," -")</f>
        <v xml:space="preserve"> -</v>
      </c>
    </row>
    <row r="81" spans="2:7" x14ac:dyDescent="0.2">
      <c r="B81" s="118" t="s">
        <v>81</v>
      </c>
      <c r="C81" s="170">
        <f>ABS('2.1 Profit &amp; Loss by component'!$F$32*INDEX('2.2 Allocation to services'!$D$56:$D$65,MATCH('6. Pricing template'!B81,'2.2 Allocation to services'!$C$56:$C$65,0),1))+ABS('2.1 Profit &amp; Loss by component'!$F$43*INDEX('2.2 Allocation to services'!$D$80:$D$89,MATCH('6. Pricing template'!B81,'2.2 Allocation to services'!$C$80:$C$89,0),1))-ABS('2.1 Profit &amp; Loss by component'!$F$37+'2.1 Profit &amp; Loss by component'!$F$26)*INDEX('2.2 Allocation to services'!$D$68:$D$77,MATCH('6. Pricing template'!B81,'2.2 Allocation to services'!$C$68:$C$77,0),1)</f>
        <v>844603.10849924688</v>
      </c>
      <c r="D81" s="170">
        <f>ABS('2.1 Profit &amp; Loss by component'!$F$32*INDEX('2.2 Allocation to services'!$D$56:$D$65,MATCH('6. Pricing template'!B81,'2.2 Allocation to services'!$C$56:$C$65,0),1))-ABS('2.1 Profit &amp; Loss by component'!$F$26)*INDEX('2.2 Allocation to services'!$D$68:$D$77,MATCH('6. Pricing template'!B81,'2.2 Allocation to services'!$C$68:$C$77,0),1)</f>
        <v>570853.57270498783</v>
      </c>
      <c r="E81" s="169">
        <f>INDEX('5. Historical demand'!$C$26:$C$35,MATCH('6. Pricing template'!B81,'5. Historical demand'!$B$26:$B$35,0),1)*(Yearending-Yearstart)</f>
        <v>0</v>
      </c>
      <c r="F81" s="168" t="str">
        <f t="shared" si="6"/>
        <v xml:space="preserve"> -</v>
      </c>
      <c r="G81" s="168" t="str">
        <f t="shared" si="7"/>
        <v xml:space="preserve"> -</v>
      </c>
    </row>
    <row r="82" spans="2:7" x14ac:dyDescent="0.2">
      <c r="B82" s="118" t="s">
        <v>82</v>
      </c>
      <c r="C82" s="170">
        <f>ABS('2.1 Profit &amp; Loss by component'!$F$32*INDEX('2.2 Allocation to services'!$D$56:$D$65,MATCH('6. Pricing template'!B82,'2.2 Allocation to services'!$C$56:$C$65,0),1))+ABS('2.1 Profit &amp; Loss by component'!$F$43*INDEX('2.2 Allocation to services'!$D$80:$D$89,MATCH('6. Pricing template'!B82,'2.2 Allocation to services'!$C$80:$C$89,0),1))-ABS('2.1 Profit &amp; Loss by component'!$F$37+'2.1 Profit &amp; Loss by component'!$F$26)*INDEX('2.2 Allocation to services'!$D$68:$D$77,MATCH('6. Pricing template'!B82,'2.2 Allocation to services'!$C$68:$C$77,0),1)</f>
        <v>0</v>
      </c>
      <c r="D82" s="170">
        <f>ABS('2.1 Profit &amp; Loss by component'!$F$32*INDEX('2.2 Allocation to services'!$D$56:$D$65,MATCH('6. Pricing template'!B82,'2.2 Allocation to services'!$C$56:$C$65,0),1))-ABS('2.1 Profit &amp; Loss by component'!$F$26)*INDEX('2.2 Allocation to services'!$D$68:$D$77,MATCH('6. Pricing template'!B82,'2.2 Allocation to services'!$C$68:$C$77,0),1)</f>
        <v>0</v>
      </c>
      <c r="E82" s="169">
        <f>INDEX('5. Historical demand'!$C$26:$C$35,MATCH('6. Pricing template'!B82,'5. Historical demand'!$B$26:$B$35,0),1)*(Yearending-Yearstart)</f>
        <v>0</v>
      </c>
      <c r="F82" s="168" t="str">
        <f t="shared" si="6"/>
        <v xml:space="preserve"> -</v>
      </c>
      <c r="G82" s="168" t="str">
        <f t="shared" si="7"/>
        <v xml:space="preserve"> -</v>
      </c>
    </row>
    <row r="83" spans="2:7" x14ac:dyDescent="0.2">
      <c r="B83" s="194" t="s">
        <v>83</v>
      </c>
      <c r="C83" s="170">
        <f>ABS('2.1 Profit &amp; Loss by component'!$F$32*INDEX('2.2 Allocation to services'!$D$56:$D$65,MATCH('6. Pricing template'!B83,'2.2 Allocation to services'!$C$56:$C$65,0),1))+ABS('2.1 Profit &amp; Loss by component'!$F$43*INDEX('2.2 Allocation to services'!$D$80:$D$89,MATCH('6. Pricing template'!B83,'2.2 Allocation to services'!$C$80:$C$89,0),1))-ABS('2.1 Profit &amp; Loss by component'!$F$37+'2.1 Profit &amp; Loss by component'!$F$26)*INDEX('2.2 Allocation to services'!$D$68:$D$77,MATCH('6. Pricing template'!B83,'2.2 Allocation to services'!$C$68:$C$77,0),1)</f>
        <v>0</v>
      </c>
      <c r="D83" s="170">
        <f>ABS('2.1 Profit &amp; Loss by component'!$F$32*INDEX('2.2 Allocation to services'!$D$56:$D$65,MATCH('6. Pricing template'!B83,'2.2 Allocation to services'!$C$56:$C$65,0),1))-ABS('2.1 Profit &amp; Loss by component'!$F$26)*INDEX('2.2 Allocation to services'!$D$68:$D$77,MATCH('6. Pricing template'!B83,'2.2 Allocation to services'!$C$68:$C$77,0),1)</f>
        <v>0</v>
      </c>
      <c r="E83" s="169">
        <f>INDEX('5. Historical demand'!$C$26:$C$35,MATCH('6. Pricing template'!B83,'5. Historical demand'!$B$26:$B$35,0),1)*(Yearending-Yearstart)</f>
        <v>0</v>
      </c>
      <c r="F83" s="168" t="str">
        <f t="shared" si="6"/>
        <v xml:space="preserve"> -</v>
      </c>
      <c r="G83" s="168" t="str">
        <f t="shared" si="7"/>
        <v xml:space="preserve"> -</v>
      </c>
    </row>
    <row r="84" spans="2:7" x14ac:dyDescent="0.2">
      <c r="B84" s="118" t="s">
        <v>84</v>
      </c>
      <c r="C84" s="170">
        <f>ABS('2.1 Profit &amp; Loss by component'!$F$32*INDEX('2.2 Allocation to services'!$D$56:$D$65,MATCH('6. Pricing template'!B84,'2.2 Allocation to services'!$C$56:$C$65,0),1))+ABS('2.1 Profit &amp; Loss by component'!$F$43*INDEX('2.2 Allocation to services'!$D$80:$D$89,MATCH('6. Pricing template'!B84,'2.2 Allocation to services'!$C$80:$C$89,0),1))-ABS('2.1 Profit &amp; Loss by component'!$F$37+'2.1 Profit &amp; Loss by component'!$F$26)*INDEX('2.2 Allocation to services'!$D$68:$D$77,MATCH('6. Pricing template'!B84,'2.2 Allocation to services'!$C$68:$C$77,0),1)</f>
        <v>8955635.3643994667</v>
      </c>
      <c r="D84" s="170">
        <f>ABS('2.1 Profit &amp; Loss by component'!$F$32*INDEX('2.2 Allocation to services'!$D$56:$D$65,MATCH('6. Pricing template'!B84,'2.2 Allocation to services'!$C$56:$C$65,0),1))-ABS('2.1 Profit &amp; Loss by component'!$F$26)*INDEX('2.2 Allocation to services'!$D$68:$D$77,MATCH('6. Pricing template'!B84,'2.2 Allocation to services'!$C$68:$C$77,0),1)</f>
        <v>6052969.0125040896</v>
      </c>
      <c r="E84" s="169">
        <f>INDEX('5. Historical demand'!$C$26:$C$35,MATCH('6. Pricing template'!B84,'5. Historical demand'!$B$26:$B$35,0),1)*(Yearending-Yearstart)</f>
        <v>66015.887671232529</v>
      </c>
      <c r="F84" s="168">
        <f t="shared" si="6"/>
        <v>0.13565878882064972</v>
      </c>
      <c r="G84" s="168">
        <f t="shared" si="7"/>
        <v>9.1689579978817229E-2</v>
      </c>
    </row>
    <row r="85" spans="2:7" x14ac:dyDescent="0.2">
      <c r="B85" s="118" t="s">
        <v>85</v>
      </c>
      <c r="C85" s="170">
        <f>ABS('2.1 Profit &amp; Loss by component'!$F$32*INDEX('2.2 Allocation to services'!$D$56:$D$65,MATCH('6. Pricing template'!B85,'2.2 Allocation to services'!$C$56:$C$65,0),1))+ABS('2.1 Profit &amp; Loss by component'!$F$43*INDEX('2.2 Allocation to services'!$D$80:$D$89,MATCH('6. Pricing template'!B85,'2.2 Allocation to services'!$C$80:$C$89,0),1))-ABS('2.1 Profit &amp; Loss by component'!$F$37+'2.1 Profit &amp; Loss by component'!$F$26)*INDEX('2.2 Allocation to services'!$D$68:$D$77,MATCH('6. Pricing template'!B85,'2.2 Allocation to services'!$C$68:$C$77,0),1)</f>
        <v>0</v>
      </c>
      <c r="D85" s="170">
        <f>ABS('2.1 Profit &amp; Loss by component'!$F$32*INDEX('2.2 Allocation to services'!$D$56:$D$65,MATCH('6. Pricing template'!B85,'2.2 Allocation to services'!$C$56:$C$65,0),1))-ABS('2.1 Profit &amp; Loss by component'!$F$26)*INDEX('2.2 Allocation to services'!$D$68:$D$77,MATCH('6. Pricing template'!B85,'2.2 Allocation to services'!$C$68:$C$77,0),1)</f>
        <v>0</v>
      </c>
      <c r="E85" s="169">
        <f>INDEX('5. Historical demand'!$C$26:$C$35,MATCH('6. Pricing template'!B85,'5. Historical demand'!$B$26:$B$35,0),1)*(Yearending-Yearstart)</f>
        <v>0</v>
      </c>
      <c r="F85" s="168" t="str">
        <f t="shared" si="6"/>
        <v xml:space="preserve"> -</v>
      </c>
      <c r="G85" s="168" t="str">
        <f t="shared" si="7"/>
        <v xml:space="preserve"> -</v>
      </c>
    </row>
    <row r="86" spans="2:7" x14ac:dyDescent="0.2">
      <c r="B86" s="118" t="s">
        <v>86</v>
      </c>
      <c r="C86" s="170">
        <f>ABS('2.1 Profit &amp; Loss by component'!$F$32*INDEX('2.2 Allocation to services'!$D$56:$D$65,MATCH('6. Pricing template'!B86,'2.2 Allocation to services'!$C$56:$C$65,0),1))+ABS('2.1 Profit &amp; Loss by component'!$F$43*INDEX('2.2 Allocation to services'!$D$80:$D$89,MATCH('6. Pricing template'!B86,'2.2 Allocation to services'!$C$80:$C$89,0),1))-ABS('2.1 Profit &amp; Loss by component'!$F$37+'2.1 Profit &amp; Loss by component'!$F$26)*INDEX('2.2 Allocation to services'!$D$68:$D$77,MATCH('6. Pricing template'!B86,'2.2 Allocation to services'!$C$68:$C$77,0),1)</f>
        <v>0</v>
      </c>
      <c r="D86" s="170">
        <f>ABS('2.1 Profit &amp; Loss by component'!$F$32*INDEX('2.2 Allocation to services'!$D$56:$D$65,MATCH('6. Pricing template'!B86,'2.2 Allocation to services'!$C$56:$C$65,0),1))-ABS('2.1 Profit &amp; Loss by component'!$F$26)*INDEX('2.2 Allocation to services'!$D$68:$D$77,MATCH('6. Pricing template'!B86,'2.2 Allocation to services'!$C$68:$C$77,0),1)</f>
        <v>0</v>
      </c>
      <c r="E86" s="169">
        <f>INDEX('5. Historical demand'!$C$26:$C$35,MATCH('6. Pricing template'!B86,'5. Historical demand'!$B$26:$B$35,0),1)*(Yearending-Yearstart)</f>
        <v>0</v>
      </c>
      <c r="F86" s="168" t="str">
        <f t="shared" si="6"/>
        <v xml:space="preserve"> -</v>
      </c>
      <c r="G86" s="168" t="str">
        <f t="shared" si="7"/>
        <v xml:space="preserve"> -</v>
      </c>
    </row>
    <row r="87" spans="2:7" x14ac:dyDescent="0.2">
      <c r="B87" s="118" t="s">
        <v>88</v>
      </c>
      <c r="C87" s="170">
        <f>ABS('2.1 Profit &amp; Loss by component'!$F$32*INDEX('2.2 Allocation to services'!$D$56:$D$65,MATCH('6. Pricing template'!B87,'2.2 Allocation to services'!$C$56:$C$65,0),1))+ABS('2.1 Profit &amp; Loss by component'!$F$43*INDEX('2.2 Allocation to services'!$D$80:$D$89,MATCH('6. Pricing template'!B87,'2.2 Allocation to services'!$C$80:$C$89,0),1))-ABS('2.1 Profit &amp; Loss by component'!$F$37+'2.1 Profit &amp; Loss by component'!$F$26)*INDEX('2.2 Allocation to services'!$D$68:$D$77,MATCH('6. Pricing template'!B87,'2.2 Allocation to services'!$C$68:$C$77,0),1)</f>
        <v>0</v>
      </c>
      <c r="D87" s="170">
        <f>ABS('2.1 Profit &amp; Loss by component'!$F$32*INDEX('2.2 Allocation to services'!$D$56:$D$65,MATCH('6. Pricing template'!B87,'2.2 Allocation to services'!$C$56:$C$65,0),1))-ABS('2.1 Profit &amp; Loss by component'!$F$26)*INDEX('2.2 Allocation to services'!$D$68:$D$77,MATCH('6. Pricing template'!B87,'2.2 Allocation to services'!$C$68:$C$77,0),1)</f>
        <v>0</v>
      </c>
      <c r="E87" s="169">
        <f>INDEX('5. Historical demand'!$C$26:$C$35,MATCH('6. Pricing template'!B87,'5. Historical demand'!$B$26:$B$35,0),1)*(Yearending-Yearstart)</f>
        <v>0</v>
      </c>
      <c r="F87" s="168" t="str">
        <f t="shared" si="6"/>
        <v xml:space="preserve"> -</v>
      </c>
      <c r="G87" s="168" t="str">
        <f t="shared" si="7"/>
        <v xml:space="preserve"> -</v>
      </c>
    </row>
    <row r="88" spans="2:7" x14ac:dyDescent="0.2">
      <c r="B88" s="118" t="s">
        <v>90</v>
      </c>
      <c r="C88" s="170">
        <f>ABS('2.1 Profit &amp; Loss by component'!$F$32*INDEX('2.2 Allocation to services'!$D$56:$D$65,MATCH('6. Pricing template'!B88,'2.2 Allocation to services'!$C$56:$C$65,0),1))+ABS('2.1 Profit &amp; Loss by component'!$F$43*INDEX('2.2 Allocation to services'!$D$80:$D$89,MATCH('6. Pricing template'!B88,'2.2 Allocation to services'!$C$80:$C$89,0),1))-ABS('2.1 Profit &amp; Loss by component'!$F$37+'2.1 Profit &amp; Loss by component'!$F$26)*INDEX('2.2 Allocation to services'!$D$68:$D$77,MATCH('6. Pricing template'!B88,'2.2 Allocation to services'!$C$68:$C$77,0),1)</f>
        <v>2625172.6425228999</v>
      </c>
      <c r="D88" s="170">
        <f>ABS('2.1 Profit &amp; Loss by component'!$F$32*INDEX('2.2 Allocation to services'!$D$56:$D$65,MATCH('6. Pricing template'!B88,'2.2 Allocation to services'!$C$56:$C$65,0),1))-ABS('2.1 Profit &amp; Loss by component'!$F$26)*INDEX('2.2 Allocation to services'!$D$68:$D$77,MATCH('6. Pricing template'!B88,'2.2 Allocation to services'!$C$68:$C$77,0),1)</f>
        <v>1774311.7055469933</v>
      </c>
      <c r="E88" s="169">
        <f>INDEX('5. Historical demand'!$C$26:$C$35,MATCH('6. Pricing template'!B88,'5. Historical demand'!$B$26:$B$35,0),1)*(Yearending-Yearstart)</f>
        <v>0</v>
      </c>
      <c r="F88" s="168" t="str">
        <f t="shared" si="6"/>
        <v xml:space="preserve"> -</v>
      </c>
      <c r="G88" s="168" t="str">
        <f t="shared" si="7"/>
        <v xml:space="preserve"> -</v>
      </c>
    </row>
    <row r="90" spans="2:7" ht="15.75" x14ac:dyDescent="0.25">
      <c r="B90" s="183" t="s">
        <v>359</v>
      </c>
    </row>
    <row r="91" spans="2:7" x14ac:dyDescent="0.2">
      <c r="B91" s="167" t="s">
        <v>437</v>
      </c>
      <c r="C91" s="188" t="s">
        <v>438</v>
      </c>
      <c r="D91" s="188" t="s">
        <v>439</v>
      </c>
      <c r="E91" s="188" t="s">
        <v>440</v>
      </c>
    </row>
    <row r="92" spans="2:7" x14ac:dyDescent="0.2">
      <c r="B92" s="118" t="s">
        <v>78</v>
      </c>
      <c r="C92" s="170">
        <f>IF(Cover!$C$23="Scheme pipeline",( '3.2 Regulatory Asset Base'!$H$95-'3.2 Regulatory Asset Base'!$H$94)*C21,('3.1 Depreciated Book Value'!$D$25+'3.1 Depreciated Book Value'!$D$33+'3.1 Depreciated Book Value'!$D$41+'3.1 Depreciated Book Value'!$D$49+'3.1 Depreciated Book Value'!$D$57+'3.1 Depreciated Book Value'!$D$65+'3.1 Depreciated Book Value'!$D$73+'3.1 Depreciated Book Value'!$D$88+'3.1 Depreciated Book Value'!$D$96)*C21)</f>
        <v>95095633.825258151</v>
      </c>
      <c r="D92" s="170">
        <f>ABS('2.1 Profit &amp; Loss by component'!$F$26)*INDEX('2.2 Allocation to services'!$D$68:$D$77,MATCH('6. Pricing template'!B79,'2.2 Allocation to services'!$C$68:$C$77,0),1)/(Yearending-Yearstart)*365</f>
        <v>3825966.6190762366</v>
      </c>
      <c r="E92" s="166">
        <f t="shared" ref="E92:E101" si="8">IFERROR(C92/D92," - ")</f>
        <v>24.855322404307486</v>
      </c>
    </row>
    <row r="93" spans="2:7" x14ac:dyDescent="0.2">
      <c r="B93" s="118" t="s">
        <v>80</v>
      </c>
      <c r="C93" s="170">
        <f>IF(Cover!$C$23="Scheme pipeline",( '3.2 Regulatory Asset Base'!$H$95-'3.2 Regulatory Asset Base'!$H$94)*C22,('3.1 Depreciated Book Value'!$D$25+'3.1 Depreciated Book Value'!$D$33+'3.1 Depreciated Book Value'!$D$41+'3.1 Depreciated Book Value'!$D$49+'3.1 Depreciated Book Value'!$D$57+'3.1 Depreciated Book Value'!$D$65+'3.1 Depreciated Book Value'!$D$73+'3.1 Depreciated Book Value'!$D$88+'3.1 Depreciated Book Value'!$D$96)*C22)</f>
        <v>372737.77407842292</v>
      </c>
      <c r="D93" s="170">
        <f>ABS('2.1 Profit &amp; Loss by component'!$F$26)*INDEX('2.2 Allocation to services'!$D$68:$D$77,MATCH('6. Pricing template'!B80,'2.2 Allocation to services'!$C$68:$C$77,0),1)/(Yearending-Yearstart)*365</f>
        <v>14848.51210508242</v>
      </c>
      <c r="E93" s="166">
        <f t="shared" si="8"/>
        <v>25.102701970444599</v>
      </c>
      <c r="G93" s="165"/>
    </row>
    <row r="94" spans="2:7" x14ac:dyDescent="0.2">
      <c r="B94" s="118" t="s">
        <v>81</v>
      </c>
      <c r="C94" s="170">
        <f>IF(Cover!$C$23="Scheme pipeline",( '3.2 Regulatory Asset Base'!$H$95-'3.2 Regulatory Asset Base'!$H$94)*C23,('3.1 Depreciated Book Value'!$D$25+'3.1 Depreciated Book Value'!$D$33+'3.1 Depreciated Book Value'!$D$41+'3.1 Depreciated Book Value'!$D$49+'3.1 Depreciated Book Value'!$D$57+'3.1 Depreciated Book Value'!$D$65+'3.1 Depreciated Book Value'!$D$73+'3.1 Depreciated Book Value'!$D$88+'3.1 Depreciated Book Value'!$D$96)*C23)</f>
        <v>10225276.462784918</v>
      </c>
      <c r="D94" s="170">
        <f>ABS('2.1 Profit &amp; Loss by component'!$F$26)*INDEX('2.2 Allocation to services'!$D$68:$D$77,MATCH('6. Pricing template'!B81,'2.2 Allocation to services'!$C$68:$C$77,0),1)/(Yearending-Yearstart)*365</f>
        <v>411798.73571428569</v>
      </c>
      <c r="E94" s="166">
        <f t="shared" si="8"/>
        <v>24.830762156296231</v>
      </c>
    </row>
    <row r="95" spans="2:7" x14ac:dyDescent="0.2">
      <c r="B95" s="118" t="s">
        <v>82</v>
      </c>
      <c r="C95" s="170">
        <f>IF(Cover!$C$23="Scheme pipeline",( '3.2 Regulatory Asset Base'!$H$95-'3.2 Regulatory Asset Base'!$H$94)*C24,('3.1 Depreciated Book Value'!$D$25+'3.1 Depreciated Book Value'!$D$33+'3.1 Depreciated Book Value'!$D$41+'3.1 Depreciated Book Value'!$D$49+'3.1 Depreciated Book Value'!$D$57+'3.1 Depreciated Book Value'!$D$65+'3.1 Depreciated Book Value'!$D$73+'3.1 Depreciated Book Value'!$D$88+'3.1 Depreciated Book Value'!$D$96)*C24)</f>
        <v>0</v>
      </c>
      <c r="D95" s="170">
        <f>ABS('2.1 Profit &amp; Loss by component'!$F$26)*INDEX('2.2 Allocation to services'!$D$68:$D$77,MATCH('6. Pricing template'!B82,'2.2 Allocation to services'!$C$68:$C$77,0),1)/(Yearending-Yearstart)*365</f>
        <v>0</v>
      </c>
      <c r="E95" s="166" t="str">
        <f t="shared" si="8"/>
        <v xml:space="preserve"> - </v>
      </c>
    </row>
    <row r="96" spans="2:7" x14ac:dyDescent="0.2">
      <c r="B96" s="194" t="s">
        <v>83</v>
      </c>
      <c r="C96" s="170">
        <f>IF(Cover!$C$23="Scheme pipeline",( '3.2 Regulatory Asset Base'!$H$95-'3.2 Regulatory Asset Base'!$H$94)*C25,('3.1 Depreciated Book Value'!$D$25+'3.1 Depreciated Book Value'!$D$33+'3.1 Depreciated Book Value'!$D$41+'3.1 Depreciated Book Value'!$D$49+'3.1 Depreciated Book Value'!$D$57+'3.1 Depreciated Book Value'!$D$65+'3.1 Depreciated Book Value'!$D$73+'3.1 Depreciated Book Value'!$D$88+'3.1 Depreciated Book Value'!$D$96)*C25)</f>
        <v>0</v>
      </c>
      <c r="D96" s="170">
        <f>ABS('2.1 Profit &amp; Loss by component'!$F$26)*INDEX('2.2 Allocation to services'!$D$68:$D$77,MATCH('6. Pricing template'!B83,'2.2 Allocation to services'!$C$68:$C$77,0),1)/(Yearending-Yearstart)*365</f>
        <v>0</v>
      </c>
      <c r="E96" s="166" t="str">
        <f t="shared" si="8"/>
        <v xml:space="preserve"> - </v>
      </c>
    </row>
    <row r="97" spans="2:7" x14ac:dyDescent="0.2">
      <c r="B97" s="118" t="s">
        <v>84</v>
      </c>
      <c r="C97" s="170">
        <f>IF(Cover!$C$23="Scheme pipeline",( '3.2 Regulatory Asset Base'!$H$95-'3.2 Regulatory Asset Base'!$H$94)*C26,('3.1 Depreciated Book Value'!$D$25+'3.1 Depreciated Book Value'!$D$33+'3.1 Depreciated Book Value'!$D$41+'3.1 Depreciated Book Value'!$D$49+'3.1 Depreciated Book Value'!$D$57+'3.1 Depreciated Book Value'!$D$65+'3.1 Depreciated Book Value'!$D$73+'3.1 Depreciated Book Value'!$D$88+'3.1 Depreciated Book Value'!$D$96)*C26)</f>
        <v>108495094.97107136</v>
      </c>
      <c r="D97" s="170">
        <f>ABS('2.1 Profit &amp; Loss by component'!$F$26)*INDEX('2.2 Allocation to services'!$D$68:$D$77,MATCH('6. Pricing template'!B84,'2.2 Allocation to services'!$C$68:$C$77,0),1)/(Yearending-Yearstart)*365</f>
        <v>4366452.4597012363</v>
      </c>
      <c r="E97" s="166">
        <f t="shared" si="8"/>
        <v>24.84742384633563</v>
      </c>
    </row>
    <row r="98" spans="2:7" x14ac:dyDescent="0.2">
      <c r="B98" s="118" t="s">
        <v>85</v>
      </c>
      <c r="C98" s="170">
        <f>IF(Cover!$C$23="Scheme pipeline",( '3.2 Regulatory Asset Base'!$H$95-'3.2 Regulatory Asset Base'!$H$94)*C27,('3.1 Depreciated Book Value'!$D$25+'3.1 Depreciated Book Value'!$D$33+'3.1 Depreciated Book Value'!$D$41+'3.1 Depreciated Book Value'!$D$49+'3.1 Depreciated Book Value'!$D$57+'3.1 Depreciated Book Value'!$D$65+'3.1 Depreciated Book Value'!$D$73+'3.1 Depreciated Book Value'!$D$88+'3.1 Depreciated Book Value'!$D$96)*C27)</f>
        <v>0</v>
      </c>
      <c r="D98" s="170">
        <f>ABS('2.1 Profit &amp; Loss by component'!$F$26)*INDEX('2.2 Allocation to services'!$D$68:$D$77,MATCH('6. Pricing template'!B85,'2.2 Allocation to services'!$C$68:$C$77,0),1)/(Yearending-Yearstart)*365</f>
        <v>0</v>
      </c>
      <c r="E98" s="166" t="str">
        <f t="shared" si="8"/>
        <v xml:space="preserve"> - </v>
      </c>
    </row>
    <row r="99" spans="2:7" x14ac:dyDescent="0.2">
      <c r="B99" s="118" t="s">
        <v>86</v>
      </c>
      <c r="C99" s="170">
        <f>IF(Cover!$C$23="Scheme pipeline",( '3.2 Regulatory Asset Base'!$H$95-'3.2 Regulatory Asset Base'!$H$94)*C28,('3.1 Depreciated Book Value'!$D$25+'3.1 Depreciated Book Value'!$D$33+'3.1 Depreciated Book Value'!$D$41+'3.1 Depreciated Book Value'!$D$49+'3.1 Depreciated Book Value'!$D$57+'3.1 Depreciated Book Value'!$D$65+'3.1 Depreciated Book Value'!$D$73+'3.1 Depreciated Book Value'!$D$88+'3.1 Depreciated Book Value'!$D$96)*C28)</f>
        <v>0</v>
      </c>
      <c r="D99" s="170">
        <f>ABS('2.1 Profit &amp; Loss by component'!$F$26)*INDEX('2.2 Allocation to services'!$D$68:$D$77,MATCH('6. Pricing template'!B86,'2.2 Allocation to services'!$C$68:$C$77,0),1)/(Yearending-Yearstart)*365</f>
        <v>0</v>
      </c>
      <c r="E99" s="166" t="str">
        <f t="shared" si="8"/>
        <v xml:space="preserve"> - </v>
      </c>
    </row>
    <row r="100" spans="2:7" x14ac:dyDescent="0.2">
      <c r="B100" s="118" t="s">
        <v>88</v>
      </c>
      <c r="C100" s="170">
        <f>IF(Cover!$C$23="Scheme pipeline",( '3.2 Regulatory Asset Base'!$H$95-'3.2 Regulatory Asset Base'!$H$94)*C29,('3.1 Depreciated Book Value'!$D$25+'3.1 Depreciated Book Value'!$D$33+'3.1 Depreciated Book Value'!$D$41+'3.1 Depreciated Book Value'!$D$49+'3.1 Depreciated Book Value'!$D$57+'3.1 Depreciated Book Value'!$D$65+'3.1 Depreciated Book Value'!$D$73+'3.1 Depreciated Book Value'!$D$88+'3.1 Depreciated Book Value'!$D$96)*C29)</f>
        <v>0</v>
      </c>
      <c r="D100" s="170">
        <f>ABS('2.1 Profit &amp; Loss by component'!$F$26)*INDEX('2.2 Allocation to services'!$D$68:$D$77,MATCH('6. Pricing template'!B87,'2.2 Allocation to services'!$C$68:$C$77,0),1)/(Yearending-Yearstart)*365</f>
        <v>0</v>
      </c>
      <c r="E100" s="166" t="str">
        <f t="shared" si="8"/>
        <v xml:space="preserve"> - </v>
      </c>
    </row>
    <row r="101" spans="2:7" x14ac:dyDescent="0.2">
      <c r="B101" s="118" t="s">
        <v>90</v>
      </c>
      <c r="C101" s="170">
        <f>IF(Cover!$C$23="Scheme pipeline",( '3.2 Regulatory Asset Base'!$H$95-'3.2 Regulatory Asset Base'!$H$94)*C30,('3.1 Depreciated Book Value'!$D$25+'3.1 Depreciated Book Value'!$D$33+'3.1 Depreciated Book Value'!$D$41+'3.1 Depreciated Book Value'!$D$49+'3.1 Depreciated Book Value'!$D$57+'3.1 Depreciated Book Value'!$D$65+'3.1 Depreciated Book Value'!$D$73+'3.1 Depreciated Book Value'!$D$88+'3.1 Depreciated Book Value'!$D$96)*C30)</f>
        <v>31802519.523987737</v>
      </c>
      <c r="D101" s="170">
        <f>ABS('2.1 Profit &amp; Loss by component'!$F$26)*INDEX('2.2 Allocation to services'!$D$68:$D$77,MATCH('6. Pricing template'!B88,'2.2 Allocation to services'!$C$68:$C$77,0),1)/(Yearending-Yearstart)*365</f>
        <v>1279941.7434581043</v>
      </c>
      <c r="E101" s="166">
        <f t="shared" si="8"/>
        <v>24.846849230860101</v>
      </c>
    </row>
    <row r="103" spans="2:7" s="171" customFormat="1" ht="27" customHeight="1" x14ac:dyDescent="0.2">
      <c r="B103" s="164" t="s">
        <v>441</v>
      </c>
      <c r="C103" s="172" t="s">
        <v>442</v>
      </c>
      <c r="D103" s="172" t="s">
        <v>443</v>
      </c>
      <c r="E103" s="172" t="s">
        <v>436</v>
      </c>
      <c r="F103" s="173" t="s">
        <v>424</v>
      </c>
      <c r="G103" s="200" t="s">
        <v>425</v>
      </c>
    </row>
    <row r="104" spans="2:7" x14ac:dyDescent="0.2">
      <c r="B104" s="118" t="s">
        <v>78</v>
      </c>
      <c r="C104" s="170">
        <f>ABS('2.1 Profit &amp; Loss by component'!$F$26+'2.1 Profit &amp; Loss by component'!$F$37)*INDEX('2.2 Allocation to services'!$D$68:$D$77,MATCH(B104,'2.2 Allocation to services'!$C$68:$C$77,0),1)</f>
        <v>4495696.2284960002</v>
      </c>
      <c r="D104" s="170">
        <f>ABS('2.1 Profit &amp; Loss by component'!$F$26*INDEX('2.2 Allocation to services'!$D$68:$D$77,MATCH(B104,'2.2 Allocation to services'!$C$68:$C$77,0),1))</f>
        <v>3815484.5187500003</v>
      </c>
      <c r="E104" s="169">
        <f>INDEX('5. Historical demand'!$C$26:$C$35,MATCH(B104,'5. Historical demand'!$B$26:$B$35,0),1)*(Yearending-Yearstart)</f>
        <v>28944.275360000094</v>
      </c>
      <c r="F104" s="201">
        <f>IFERROR(C104/(E104*1000)," - ")</f>
        <v>0.15532246610356965</v>
      </c>
      <c r="G104" s="201">
        <f>IFERROR(D104/(E104*1000)," - ")</f>
        <v>0.13182173232164787</v>
      </c>
    </row>
    <row r="105" spans="2:7" x14ac:dyDescent="0.2">
      <c r="B105" s="118" t="s">
        <v>80</v>
      </c>
      <c r="C105" s="170">
        <f>ABS('2.1 Profit &amp; Loss by component'!$F$26+'2.1 Profit &amp; Loss by component'!$F$37)*INDEX('2.2 Allocation to services'!$D$68:$D$77,MATCH(B105,'2.2 Allocation to services'!$C$68:$C$77,0),1)</f>
        <v>17447.721455999999</v>
      </c>
      <c r="D105" s="170">
        <f>ABS('2.1 Profit &amp; Loss by component'!$F$26*INDEX('2.2 Allocation to services'!$D$68:$D$77,MATCH(B105,'2.2 Allocation to services'!$C$68:$C$77,0),1))</f>
        <v>14807.831250000001</v>
      </c>
      <c r="E105" s="169">
        <f>INDEX('5. Historical demand'!$C$26:$C$35,MATCH(B105,'5. Historical demand'!$B$26:$B$35,0),1)*(Yearending-Yearstart)</f>
        <v>0</v>
      </c>
      <c r="F105" s="201" t="str">
        <f t="shared" ref="F105:F113" si="9">IFERROR(C105/(E105*1000)," - ")</f>
        <v xml:space="preserve"> - </v>
      </c>
      <c r="G105" s="201" t="str">
        <f t="shared" ref="G105:G113" si="10">IFERROR(D105/(E105*1000)," - ")</f>
        <v xml:space="preserve"> - </v>
      </c>
    </row>
    <row r="106" spans="2:7" x14ac:dyDescent="0.2">
      <c r="B106" s="118" t="s">
        <v>81</v>
      </c>
      <c r="C106" s="170">
        <f>ABS('2.1 Profit &amp; Loss by component'!$F$26+'2.1 Profit &amp; Loss by component'!$F$37)*INDEX('2.2 Allocation to services'!$D$68:$D$77,MATCH(B106,'2.2 Allocation to services'!$C$68:$C$77,0),1)</f>
        <v>483883.47504639998</v>
      </c>
      <c r="D106" s="170">
        <f>ABS('2.1 Profit &amp; Loss by component'!$F$26*INDEX('2.2 Allocation to services'!$D$68:$D$77,MATCH(B106,'2.2 Allocation to services'!$C$68:$C$77,0),1))</f>
        <v>410670.51999999996</v>
      </c>
      <c r="E106" s="169">
        <f>INDEX('5. Historical demand'!$C$26:$C$35,MATCH(B106,'5. Historical demand'!$B$26:$B$35,0),1)*(Yearending-Yearstart)</f>
        <v>0</v>
      </c>
      <c r="F106" s="201" t="str">
        <f t="shared" si="9"/>
        <v xml:space="preserve"> - </v>
      </c>
      <c r="G106" s="201" t="str">
        <f t="shared" si="10"/>
        <v xml:space="preserve"> - </v>
      </c>
    </row>
    <row r="107" spans="2:7" x14ac:dyDescent="0.2">
      <c r="B107" s="118" t="s">
        <v>82</v>
      </c>
      <c r="C107" s="170">
        <f>ABS('2.1 Profit &amp; Loss by component'!$F$26+'2.1 Profit &amp; Loss by component'!$F$37)*INDEX('2.2 Allocation to services'!$D$68:$D$77,MATCH(B107,'2.2 Allocation to services'!$C$68:$C$77,0),1)</f>
        <v>0</v>
      </c>
      <c r="D107" s="170">
        <f>ABS('2.1 Profit &amp; Loss by component'!$F$26*INDEX('2.2 Allocation to services'!$D$68:$D$77,MATCH(B107,'2.2 Allocation to services'!$C$68:$C$77,0),1))</f>
        <v>0</v>
      </c>
      <c r="E107" s="169">
        <f>INDEX('5. Historical demand'!$C$26:$C$35,MATCH(B107,'5. Historical demand'!$B$26:$B$35,0),1)*(Yearending-Yearstart)</f>
        <v>0</v>
      </c>
      <c r="F107" s="201" t="str">
        <f t="shared" si="9"/>
        <v xml:space="preserve"> - </v>
      </c>
      <c r="G107" s="201" t="str">
        <f t="shared" si="10"/>
        <v xml:space="preserve"> - </v>
      </c>
    </row>
    <row r="108" spans="2:7" x14ac:dyDescent="0.2">
      <c r="B108" s="194" t="s">
        <v>83</v>
      </c>
      <c r="C108" s="170">
        <f>ABS('2.1 Profit &amp; Loss by component'!$F$26+'2.1 Profit &amp; Loss by component'!$F$37)*INDEX('2.2 Allocation to services'!$D$68:$D$77,MATCH(B108,'2.2 Allocation to services'!$C$68:$C$77,0),1)</f>
        <v>0</v>
      </c>
      <c r="D108" s="170">
        <f>ABS('2.1 Profit &amp; Loss by component'!$F$26*INDEX('2.2 Allocation to services'!$D$68:$D$77,MATCH(B108,'2.2 Allocation to services'!$C$68:$C$77,0),1))</f>
        <v>0</v>
      </c>
      <c r="E108" s="169">
        <f>INDEX('5. Historical demand'!$C$26:$C$35,MATCH(B108,'5. Historical demand'!$B$26:$B$35,0),1)*(Yearending-Yearstart)</f>
        <v>0</v>
      </c>
      <c r="F108" s="201" t="str">
        <f t="shared" si="9"/>
        <v xml:space="preserve"> - </v>
      </c>
      <c r="G108" s="201" t="str">
        <f t="shared" si="10"/>
        <v xml:space="preserve"> - </v>
      </c>
    </row>
    <row r="109" spans="2:7" x14ac:dyDescent="0.2">
      <c r="B109" s="118" t="s">
        <v>84</v>
      </c>
      <c r="C109" s="170">
        <f>ABS('2.1 Profit &amp; Loss by component'!$F$26+'2.1 Profit &amp; Loss by component'!$F$37)*INDEX('2.2 Allocation to services'!$D$68:$D$77,MATCH(B109,'2.2 Allocation to services'!$C$68:$C$77,0),1)</f>
        <v>5130793.2894943999</v>
      </c>
      <c r="D109" s="170">
        <f>ABS('2.1 Profit &amp; Loss by component'!$F$26*INDEX('2.2 Allocation to services'!$D$68:$D$77,MATCH(B109,'2.2 Allocation to services'!$C$68:$C$77,0),1))</f>
        <v>4354489.5762499999</v>
      </c>
      <c r="E109" s="169">
        <f>INDEX('5. Historical demand'!$C$26:$C$35,MATCH(B109,'5. Historical demand'!$B$26:$B$35,0),1)*(Yearending-Yearstart)</f>
        <v>66015.887671232529</v>
      </c>
      <c r="F109" s="201">
        <f t="shared" si="9"/>
        <v>7.7720583188192513E-2</v>
      </c>
      <c r="G109" s="201">
        <f t="shared" si="10"/>
        <v>6.5961236451684307E-2</v>
      </c>
    </row>
    <row r="110" spans="2:7" x14ac:dyDescent="0.2">
      <c r="B110" s="118" t="s">
        <v>85</v>
      </c>
      <c r="C110" s="170">
        <f>ABS('2.1 Profit &amp; Loss by component'!$F$26+'2.1 Profit &amp; Loss by component'!$F$37)*INDEX('2.2 Allocation to services'!$D$68:$D$77,MATCH(B110,'2.2 Allocation to services'!$C$68:$C$77,0),1)</f>
        <v>0</v>
      </c>
      <c r="D110" s="170">
        <f>ABS('2.1 Profit &amp; Loss by component'!$F$26*INDEX('2.2 Allocation to services'!$D$68:$D$77,MATCH(B110,'2.2 Allocation to services'!$C$68:$C$77,0),1))</f>
        <v>0</v>
      </c>
      <c r="E110" s="169">
        <f>INDEX('5. Historical demand'!$C$26:$C$35,MATCH(B110,'5. Historical demand'!$B$26:$B$35,0),1)*(Yearending-Yearstart)</f>
        <v>0</v>
      </c>
      <c r="F110" s="201" t="str">
        <f t="shared" si="9"/>
        <v xml:space="preserve"> - </v>
      </c>
      <c r="G110" s="201" t="str">
        <f t="shared" si="10"/>
        <v xml:space="preserve"> - </v>
      </c>
    </row>
    <row r="111" spans="2:7" x14ac:dyDescent="0.2">
      <c r="B111" s="118" t="s">
        <v>86</v>
      </c>
      <c r="C111" s="170">
        <f>ABS('2.1 Profit &amp; Loss by component'!$F$26+'2.1 Profit &amp; Loss by component'!$F$37)*INDEX('2.2 Allocation to services'!$D$68:$D$77,MATCH(B111,'2.2 Allocation to services'!$C$68:$C$77,0),1)</f>
        <v>0</v>
      </c>
      <c r="D111" s="170">
        <f>ABS('2.1 Profit &amp; Loss by component'!$F$26*INDEX('2.2 Allocation to services'!$D$68:$D$77,MATCH(B111,'2.2 Allocation to services'!$C$68:$C$77,0),1))</f>
        <v>0</v>
      </c>
      <c r="E111" s="169">
        <f>INDEX('5. Historical demand'!$C$26:$C$35,MATCH(B111,'5. Historical demand'!$B$26:$B$35,0),1)*(Yearending-Yearstart)</f>
        <v>0</v>
      </c>
      <c r="F111" s="201" t="str">
        <f t="shared" si="9"/>
        <v xml:space="preserve"> - </v>
      </c>
      <c r="G111" s="201" t="str">
        <f t="shared" si="10"/>
        <v xml:space="preserve"> - </v>
      </c>
    </row>
    <row r="112" spans="2:7" x14ac:dyDescent="0.2">
      <c r="B112" s="118" t="s">
        <v>88</v>
      </c>
      <c r="C112" s="170">
        <f>ABS('2.1 Profit &amp; Loss by component'!$F$26+'2.1 Profit &amp; Loss by component'!$F$37)*INDEX('2.2 Allocation to services'!$D$68:$D$77,MATCH(B112,'2.2 Allocation to services'!$C$68:$C$77,0),1)</f>
        <v>0</v>
      </c>
      <c r="D112" s="170">
        <f>ABS('2.1 Profit &amp; Loss by component'!$F$26*INDEX('2.2 Allocation to services'!$D$68:$D$77,MATCH(B112,'2.2 Allocation to services'!$C$68:$C$77,0),1))</f>
        <v>0</v>
      </c>
      <c r="E112" s="169">
        <f>INDEX('5. Historical demand'!$C$26:$C$35,MATCH(B112,'5. Historical demand'!$B$26:$B$35,0),1)*(Yearending-Yearstart)</f>
        <v>0</v>
      </c>
      <c r="F112" s="201" t="str">
        <f t="shared" si="9"/>
        <v xml:space="preserve"> - </v>
      </c>
      <c r="G112" s="201" t="str">
        <f t="shared" si="10"/>
        <v xml:space="preserve"> - </v>
      </c>
    </row>
    <row r="113" spans="2:7" x14ac:dyDescent="0.2">
      <c r="B113" s="118" t="s">
        <v>90</v>
      </c>
      <c r="C113" s="170">
        <f>ABS('2.1 Profit &amp; Loss by component'!$F$26+'2.1 Profit &amp; Loss by component'!$F$37)*INDEX('2.2 Allocation to services'!$D$68:$D$77,MATCH(B113,'2.2 Allocation to services'!$C$68:$C$77,0),1)</f>
        <v>1503993.5895071998</v>
      </c>
      <c r="D113" s="170">
        <f>ABS('2.1 Profit &amp; Loss by component'!$F$26*INDEX('2.2 Allocation to services'!$D$68:$D$77,MATCH(B113,'2.2 Allocation to services'!$C$68:$C$77,0),1))</f>
        <v>1276435.05375</v>
      </c>
      <c r="E113" s="169">
        <f>INDEX('5. Historical demand'!$C$26:$C$35,MATCH(B113,'5. Historical demand'!$B$26:$B$35,0),1)*(Yearending-Yearstart)</f>
        <v>0</v>
      </c>
      <c r="F113" s="201" t="str">
        <f t="shared" si="9"/>
        <v xml:space="preserve"> - </v>
      </c>
      <c r="G113" s="201" t="str">
        <f t="shared" si="10"/>
        <v xml:space="preserve"> - </v>
      </c>
    </row>
    <row r="114" spans="2:7" ht="15.75" x14ac:dyDescent="0.25">
      <c r="B114" s="189"/>
    </row>
    <row r="115" spans="2:7" s="171" customFormat="1" ht="24.75" customHeight="1" x14ac:dyDescent="0.2">
      <c r="B115" s="164" t="s">
        <v>444</v>
      </c>
      <c r="C115" s="202" t="s">
        <v>445</v>
      </c>
      <c r="D115" s="202" t="s">
        <v>440</v>
      </c>
      <c r="E115" s="202" t="s">
        <v>446</v>
      </c>
      <c r="F115" s="172" t="s">
        <v>436</v>
      </c>
      <c r="G115" s="200" t="s">
        <v>426</v>
      </c>
    </row>
    <row r="116" spans="2:7" x14ac:dyDescent="0.2">
      <c r="B116" s="118" t="s">
        <v>78</v>
      </c>
      <c r="C116" s="116">
        <f>'4. Recovered Capital'!$E$37*C21</f>
        <v>0</v>
      </c>
      <c r="D116" s="166">
        <f>E92</f>
        <v>24.855322404307486</v>
      </c>
      <c r="E116" s="116">
        <f t="shared" ref="E116:E125" si="11">IFERROR(C116/D116, " - ")</f>
        <v>0</v>
      </c>
      <c r="F116" s="169">
        <f>INDEX('5. Historical demand'!$C$26:$C$35,MATCH(B116,'5. Historical demand'!$B$26:$B$35,0),1)*(Yearending-Yearstart)</f>
        <v>28944.275360000094</v>
      </c>
      <c r="G116" s="201">
        <f>IFERROR(E116/(E104*1000), " - ")</f>
        <v>0</v>
      </c>
    </row>
    <row r="117" spans="2:7" x14ac:dyDescent="0.2">
      <c r="B117" s="118" t="s">
        <v>80</v>
      </c>
      <c r="C117" s="116">
        <f>'4. Recovered Capital'!$E$37*C22</f>
        <v>0</v>
      </c>
      <c r="D117" s="166">
        <f t="shared" ref="D117:D125" si="12">E93</f>
        <v>25.102701970444599</v>
      </c>
      <c r="E117" s="116">
        <f t="shared" si="11"/>
        <v>0</v>
      </c>
      <c r="F117" s="169">
        <f>INDEX('5. Historical demand'!$C$26:$C$35,MATCH(B117,'5. Historical demand'!$B$26:$B$35,0),1)*(Yearending-Yearstart)</f>
        <v>0</v>
      </c>
      <c r="G117" s="201" t="str">
        <f t="shared" ref="G117:G125" si="13">IFERROR(E117/(E105*1000), " - ")</f>
        <v xml:space="preserve"> - </v>
      </c>
    </row>
    <row r="118" spans="2:7" x14ac:dyDescent="0.2">
      <c r="B118" s="118" t="s">
        <v>81</v>
      </c>
      <c r="C118" s="116">
        <f>'4. Recovered Capital'!$E$37*C23</f>
        <v>0</v>
      </c>
      <c r="D118" s="166">
        <f t="shared" si="12"/>
        <v>24.830762156296231</v>
      </c>
      <c r="E118" s="116">
        <f t="shared" si="11"/>
        <v>0</v>
      </c>
      <c r="F118" s="169">
        <f>INDEX('5. Historical demand'!$C$26:$C$35,MATCH(B118,'5. Historical demand'!$B$26:$B$35,0),1)*(Yearending-Yearstart)</f>
        <v>0</v>
      </c>
      <c r="G118" s="201" t="str">
        <f t="shared" si="13"/>
        <v xml:space="preserve"> - </v>
      </c>
    </row>
    <row r="119" spans="2:7" x14ac:dyDescent="0.2">
      <c r="B119" s="118" t="s">
        <v>82</v>
      </c>
      <c r="C119" s="116">
        <f>'4. Recovered Capital'!$E$37*C24</f>
        <v>0</v>
      </c>
      <c r="D119" s="166" t="str">
        <f t="shared" si="12"/>
        <v xml:space="preserve"> - </v>
      </c>
      <c r="E119" s="116" t="str">
        <f t="shared" si="11"/>
        <v xml:space="preserve"> - </v>
      </c>
      <c r="F119" s="169">
        <f>INDEX('5. Historical demand'!$C$26:$C$35,MATCH(B119,'5. Historical demand'!$B$26:$B$35,0),1)*(Yearending-Yearstart)</f>
        <v>0</v>
      </c>
      <c r="G119" s="201" t="str">
        <f t="shared" si="13"/>
        <v xml:space="preserve"> - </v>
      </c>
    </row>
    <row r="120" spans="2:7" x14ac:dyDescent="0.2">
      <c r="B120" s="194" t="s">
        <v>83</v>
      </c>
      <c r="C120" s="116">
        <f>'4. Recovered Capital'!$E$37*C25</f>
        <v>0</v>
      </c>
      <c r="D120" s="166" t="str">
        <f t="shared" si="12"/>
        <v xml:space="preserve"> - </v>
      </c>
      <c r="E120" s="116" t="str">
        <f t="shared" si="11"/>
        <v xml:space="preserve"> - </v>
      </c>
      <c r="F120" s="169">
        <f>INDEX('5. Historical demand'!$C$26:$C$35,MATCH(B120,'5. Historical demand'!$B$26:$B$35,0),1)*(Yearending-Yearstart)</f>
        <v>0</v>
      </c>
      <c r="G120" s="201" t="str">
        <f t="shared" si="13"/>
        <v xml:space="preserve"> - </v>
      </c>
    </row>
    <row r="121" spans="2:7" x14ac:dyDescent="0.2">
      <c r="B121" s="118" t="s">
        <v>84</v>
      </c>
      <c r="C121" s="116">
        <f>'4. Recovered Capital'!$E$37*C26</f>
        <v>0</v>
      </c>
      <c r="D121" s="166">
        <f t="shared" si="12"/>
        <v>24.84742384633563</v>
      </c>
      <c r="E121" s="116">
        <f t="shared" si="11"/>
        <v>0</v>
      </c>
      <c r="F121" s="169">
        <f>INDEX('5. Historical demand'!$C$26:$C$35,MATCH(B121,'5. Historical demand'!$B$26:$B$35,0),1)*(Yearending-Yearstart)</f>
        <v>66015.887671232529</v>
      </c>
      <c r="G121" s="201">
        <f t="shared" si="13"/>
        <v>0</v>
      </c>
    </row>
    <row r="122" spans="2:7" x14ac:dyDescent="0.2">
      <c r="B122" s="118" t="s">
        <v>85</v>
      </c>
      <c r="C122" s="116">
        <f>'4. Recovered Capital'!$E$37*C27</f>
        <v>0</v>
      </c>
      <c r="D122" s="166" t="str">
        <f t="shared" si="12"/>
        <v xml:space="preserve"> - </v>
      </c>
      <c r="E122" s="116" t="str">
        <f t="shared" si="11"/>
        <v xml:space="preserve"> - </v>
      </c>
      <c r="F122" s="169">
        <f>INDEX('5. Historical demand'!$C$26:$C$35,MATCH(B122,'5. Historical demand'!$B$26:$B$35,0),1)*(Yearending-Yearstart)</f>
        <v>0</v>
      </c>
      <c r="G122" s="201" t="str">
        <f t="shared" si="13"/>
        <v xml:space="preserve"> - </v>
      </c>
    </row>
    <row r="123" spans="2:7" x14ac:dyDescent="0.2">
      <c r="B123" s="118" t="s">
        <v>86</v>
      </c>
      <c r="C123" s="116">
        <f>'4. Recovered Capital'!$E$37*C28</f>
        <v>0</v>
      </c>
      <c r="D123" s="166" t="str">
        <f t="shared" si="12"/>
        <v xml:space="preserve"> - </v>
      </c>
      <c r="E123" s="116" t="str">
        <f t="shared" si="11"/>
        <v xml:space="preserve"> - </v>
      </c>
      <c r="F123" s="169">
        <f>INDEX('5. Historical demand'!$C$26:$C$35,MATCH(B123,'5. Historical demand'!$B$26:$B$35,0),1)*(Yearending-Yearstart)</f>
        <v>0</v>
      </c>
      <c r="G123" s="201" t="str">
        <f t="shared" si="13"/>
        <v xml:space="preserve"> - </v>
      </c>
    </row>
    <row r="124" spans="2:7" x14ac:dyDescent="0.2">
      <c r="B124" s="118" t="s">
        <v>88</v>
      </c>
      <c r="C124" s="116">
        <f>'4. Recovered Capital'!$E$37*C29</f>
        <v>0</v>
      </c>
      <c r="D124" s="166" t="str">
        <f t="shared" si="12"/>
        <v xml:space="preserve"> - </v>
      </c>
      <c r="E124" s="116" t="str">
        <f t="shared" si="11"/>
        <v xml:space="preserve"> - </v>
      </c>
      <c r="F124" s="169">
        <f>INDEX('5. Historical demand'!$C$26:$C$35,MATCH(B124,'5. Historical demand'!$B$26:$B$35,0),1)*(Yearending-Yearstart)</f>
        <v>0</v>
      </c>
      <c r="G124" s="201" t="str">
        <f t="shared" si="13"/>
        <v xml:space="preserve"> - </v>
      </c>
    </row>
    <row r="125" spans="2:7" x14ac:dyDescent="0.2">
      <c r="B125" s="118" t="s">
        <v>90</v>
      </c>
      <c r="C125" s="116">
        <f>'4. Recovered Capital'!$E$37*C30</f>
        <v>0</v>
      </c>
      <c r="D125" s="166">
        <f t="shared" si="12"/>
        <v>24.846849230860101</v>
      </c>
      <c r="E125" s="116">
        <f t="shared" si="11"/>
        <v>0</v>
      </c>
      <c r="F125" s="169">
        <f>INDEX('5. Historical demand'!$C$26:$C$35,MATCH(B125,'5. Historical demand'!$B$26:$B$35,0),1)*(Yearending-Yearstart)</f>
        <v>0</v>
      </c>
      <c r="G125" s="201" t="str">
        <f t="shared" si="13"/>
        <v xml:space="preserve"> - </v>
      </c>
    </row>
    <row r="127" spans="2:7" ht="15.75" x14ac:dyDescent="0.25">
      <c r="B127" s="183" t="s">
        <v>447</v>
      </c>
    </row>
    <row r="128" spans="2:7" x14ac:dyDescent="0.2">
      <c r="B128" s="167" t="s">
        <v>448</v>
      </c>
      <c r="C128" s="167"/>
    </row>
    <row r="129" spans="2:10" x14ac:dyDescent="0.2">
      <c r="B129" s="167" t="s">
        <v>449</v>
      </c>
      <c r="C129" s="203" t="str">
        <f>IF(IFERROR(INDEX('4. Recovered Capital'!F39:BH39,1,MATCH(VALUE(RIGHT(TEXT(Yearending,"dd/mm/yyyy"),4)),'4. Recovered Capital'!$F$12:$BH$12,0)),)=0," - ",IFERROR(INDEX('4. Recovered Capital'!F39:BH39,1,MATCH(VALUE(RIGHT(TEXT(Yearending,"dd/mm/yyyy"),4)),'4. Recovered Capital'!$F$12:$BH$12,0)),))</f>
        <v xml:space="preserve"> - </v>
      </c>
    </row>
    <row r="130" spans="2:10" x14ac:dyDescent="0.2">
      <c r="B130" s="167" t="s">
        <v>450</v>
      </c>
      <c r="C130" s="203" t="str">
        <f>IFERROR((C129-E21*E22)/(1-E22), " - ")</f>
        <v xml:space="preserve"> - </v>
      </c>
    </row>
    <row r="131" spans="2:10" x14ac:dyDescent="0.2">
      <c r="B131" s="167" t="s">
        <v>451</v>
      </c>
      <c r="C131" s="203" t="str">
        <f>IFERROR(C130/(1-E23*(1-E24))," - ")</f>
        <v xml:space="preserve"> - </v>
      </c>
    </row>
    <row r="132" spans="2:10" x14ac:dyDescent="0.2">
      <c r="B132" s="167" t="s">
        <v>452</v>
      </c>
      <c r="C132" s="203" t="str">
        <f>IFERROR(C131-C130," - ")</f>
        <v xml:space="preserve"> - </v>
      </c>
    </row>
    <row r="133" spans="2:10" x14ac:dyDescent="0.2">
      <c r="B133" s="167" t="s">
        <v>453</v>
      </c>
      <c r="C133" s="203" t="str">
        <f>IFERROR(C132*(1-E22)," - ")</f>
        <v xml:space="preserve"> - </v>
      </c>
    </row>
    <row r="134" spans="2:10" x14ac:dyDescent="0.2">
      <c r="B134" s="167" t="s">
        <v>454</v>
      </c>
      <c r="C134" s="203" t="str">
        <f>IFERROR(C129+C133," - ")</f>
        <v xml:space="preserve"> - </v>
      </c>
    </row>
    <row r="136" spans="2:10" s="283" customFormat="1" ht="26.25" customHeight="1" x14ac:dyDescent="0.2">
      <c r="B136" s="281" t="s">
        <v>455</v>
      </c>
      <c r="C136" s="172" t="s">
        <v>456</v>
      </c>
      <c r="D136" s="202" t="s">
        <v>449</v>
      </c>
      <c r="E136" s="202" t="s">
        <v>453</v>
      </c>
      <c r="F136" s="202" t="s">
        <v>363</v>
      </c>
      <c r="G136" s="202" t="s">
        <v>457</v>
      </c>
      <c r="H136" s="172" t="s">
        <v>436</v>
      </c>
      <c r="I136" s="282" t="s">
        <v>429</v>
      </c>
      <c r="J136" s="282" t="s">
        <v>430</v>
      </c>
    </row>
    <row r="137" spans="2:10" x14ac:dyDescent="0.2">
      <c r="B137" s="118" t="s">
        <v>78</v>
      </c>
      <c r="C137" s="116">
        <f>IF(Cover!$C$23="Scheme pipeline",'3.2 Regulatory Asset Base'!$H$78*'6. Pricing template'!C21,C92+'3.1 Depreciated Book Value'!$D$80*'6. Pricing template'!C21)</f>
        <v>98054490.508779481</v>
      </c>
      <c r="D137" s="203" t="str">
        <f t="shared" ref="D137:D146" si="14">$C$129</f>
        <v xml:space="preserve"> - </v>
      </c>
      <c r="E137" s="203" t="str">
        <f t="shared" ref="E137:E146" si="15">$C$133</f>
        <v xml:space="preserve"> - </v>
      </c>
      <c r="F137" s="116" t="str">
        <f t="shared" ref="F137:F146" si="16">IFERROR(C137*D137, " -")</f>
        <v xml:space="preserve"> -</v>
      </c>
      <c r="G137" s="116" t="str">
        <f t="shared" ref="G137:G146" si="17">IFERROR(C137*E137, " -")</f>
        <v xml:space="preserve"> -</v>
      </c>
      <c r="H137" s="169">
        <f>INDEX('5. Historical demand'!$C$26:$C$35,MATCH(B137,'5. Historical demand'!$B$26:$B$35,0),1)*(Yearending-Yearstart)</f>
        <v>28944.275360000094</v>
      </c>
      <c r="I137" s="201" t="str">
        <f>IFERROR(F137/(H137*1000)," - ")</f>
        <v xml:space="preserve"> - </v>
      </c>
      <c r="J137" s="201" t="str">
        <f>IFERROR(G137/(H137*1000)," - ")</f>
        <v xml:space="preserve"> - </v>
      </c>
    </row>
    <row r="138" spans="2:10" x14ac:dyDescent="0.2">
      <c r="B138" s="118" t="s">
        <v>80</v>
      </c>
      <c r="C138" s="116">
        <f>IF(Cover!$C$23="Scheme pipeline",'3.2 Regulatory Asset Base'!$H$78*'6. Pricing template'!C22,C93+'3.1 Depreciated Book Value'!$D$80*'6. Pricing template'!C22)</f>
        <v>384335.33760125918</v>
      </c>
      <c r="D138" s="203" t="str">
        <f t="shared" si="14"/>
        <v xml:space="preserve"> - </v>
      </c>
      <c r="E138" s="203" t="str">
        <f t="shared" si="15"/>
        <v xml:space="preserve"> - </v>
      </c>
      <c r="F138" s="116" t="str">
        <f t="shared" si="16"/>
        <v xml:space="preserve"> -</v>
      </c>
      <c r="G138" s="116" t="str">
        <f t="shared" si="17"/>
        <v xml:space="preserve"> -</v>
      </c>
      <c r="H138" s="169">
        <f>INDEX('5. Historical demand'!$C$26:$C$35,MATCH(B138,'5. Historical demand'!$B$26:$B$35,0),1)*(Yearending-Yearstart)</f>
        <v>0</v>
      </c>
      <c r="I138" s="201" t="str">
        <f t="shared" ref="I138:I146" si="18">IFERROR(F138/(H138*1000)," - ")</f>
        <v xml:space="preserve"> - </v>
      </c>
      <c r="J138" s="201" t="str">
        <f t="shared" ref="J138:J146" si="19">IFERROR(G138/(H138*1000)," - ")</f>
        <v xml:space="preserve"> - </v>
      </c>
    </row>
    <row r="139" spans="2:10" x14ac:dyDescent="0.2">
      <c r="B139" s="118" t="s">
        <v>81</v>
      </c>
      <c r="C139" s="116">
        <f>IF(Cover!$C$23="Scheme pipeline",'3.2 Regulatory Asset Base'!$H$78*'6. Pricing template'!C23,C94+'3.1 Depreciated Book Value'!$D$80*'6. Pricing template'!C23)</f>
        <v>10543431.21275335</v>
      </c>
      <c r="D139" s="203" t="str">
        <f t="shared" si="14"/>
        <v xml:space="preserve"> - </v>
      </c>
      <c r="E139" s="203" t="str">
        <f t="shared" si="15"/>
        <v xml:space="preserve"> - </v>
      </c>
      <c r="F139" s="116" t="str">
        <f t="shared" si="16"/>
        <v xml:space="preserve"> -</v>
      </c>
      <c r="G139" s="116" t="str">
        <f t="shared" si="17"/>
        <v xml:space="preserve"> -</v>
      </c>
      <c r="H139" s="169">
        <f>INDEX('5. Historical demand'!$C$26:$C$35,MATCH(B139,'5. Historical demand'!$B$26:$B$35,0),1)*(Yearending-Yearstart)</f>
        <v>0</v>
      </c>
      <c r="I139" s="201" t="str">
        <f t="shared" si="18"/>
        <v xml:space="preserve"> - </v>
      </c>
      <c r="J139" s="201" t="str">
        <f t="shared" si="19"/>
        <v xml:space="preserve"> - </v>
      </c>
    </row>
    <row r="140" spans="2:10" x14ac:dyDescent="0.2">
      <c r="B140" s="118" t="s">
        <v>82</v>
      </c>
      <c r="C140" s="116">
        <f>IF(Cover!$C$23="Scheme pipeline",'3.2 Regulatory Asset Base'!$H$78*'6. Pricing template'!C24,C95+'3.1 Depreciated Book Value'!$D$80*'6. Pricing template'!C24)</f>
        <v>0</v>
      </c>
      <c r="D140" s="203" t="str">
        <f t="shared" si="14"/>
        <v xml:space="preserve"> - </v>
      </c>
      <c r="E140" s="203" t="str">
        <f t="shared" si="15"/>
        <v xml:space="preserve"> - </v>
      </c>
      <c r="F140" s="116" t="str">
        <f t="shared" si="16"/>
        <v xml:space="preserve"> -</v>
      </c>
      <c r="G140" s="116" t="str">
        <f t="shared" si="17"/>
        <v xml:space="preserve"> -</v>
      </c>
      <c r="H140" s="169">
        <f>INDEX('5. Historical demand'!$C$26:$C$35,MATCH(B140,'5. Historical demand'!$B$26:$B$35,0),1)*(Yearending-Yearstart)</f>
        <v>0</v>
      </c>
      <c r="I140" s="201" t="str">
        <f t="shared" si="18"/>
        <v xml:space="preserve"> - </v>
      </c>
      <c r="J140" s="201" t="str">
        <f t="shared" si="19"/>
        <v xml:space="preserve"> - </v>
      </c>
    </row>
    <row r="141" spans="2:10" x14ac:dyDescent="0.2">
      <c r="B141" s="194" t="s">
        <v>83</v>
      </c>
      <c r="C141" s="116">
        <f>IF(Cover!$C$23="Scheme pipeline",'3.2 Regulatory Asset Base'!$H$78*'6. Pricing template'!C25,C96+'3.1 Depreciated Book Value'!$D$80*'6. Pricing template'!C25)</f>
        <v>0</v>
      </c>
      <c r="D141" s="203" t="str">
        <f t="shared" si="14"/>
        <v xml:space="preserve"> - </v>
      </c>
      <c r="E141" s="203" t="str">
        <f t="shared" si="15"/>
        <v xml:space="preserve"> - </v>
      </c>
      <c r="F141" s="116" t="str">
        <f t="shared" si="16"/>
        <v xml:space="preserve"> -</v>
      </c>
      <c r="G141" s="116" t="str">
        <f t="shared" si="17"/>
        <v xml:space="preserve"> -</v>
      </c>
      <c r="H141" s="169">
        <f>INDEX('5. Historical demand'!$C$26:$C$35,MATCH(B141,'5. Historical demand'!$B$26:$B$35,0),1)*(Yearending-Yearstart)</f>
        <v>0</v>
      </c>
      <c r="I141" s="201" t="str">
        <f t="shared" si="18"/>
        <v xml:space="preserve"> - </v>
      </c>
      <c r="J141" s="201" t="str">
        <f t="shared" si="19"/>
        <v xml:space="preserve"> - </v>
      </c>
    </row>
    <row r="142" spans="2:10" x14ac:dyDescent="0.2">
      <c r="B142" s="118" t="s">
        <v>84</v>
      </c>
      <c r="C142" s="116">
        <f>IF(Cover!$C$23="Scheme pipeline",'3.2 Regulatory Asset Base'!$H$78*'6. Pricing template'!C26,C97+'3.1 Depreciated Book Value'!$D$80*'6. Pricing template'!C26)</f>
        <v>111870869.69353996</v>
      </c>
      <c r="D142" s="203" t="str">
        <f t="shared" si="14"/>
        <v xml:space="preserve"> - </v>
      </c>
      <c r="E142" s="203" t="str">
        <f t="shared" si="15"/>
        <v xml:space="preserve"> - </v>
      </c>
      <c r="F142" s="116" t="str">
        <f t="shared" si="16"/>
        <v xml:space="preserve"> -</v>
      </c>
      <c r="G142" s="116" t="str">
        <f t="shared" si="17"/>
        <v xml:space="preserve"> -</v>
      </c>
      <c r="H142" s="169">
        <f>INDEX('5. Historical demand'!$C$26:$C$35,MATCH(B142,'5. Historical demand'!$B$26:$B$35,0),1)*(Yearending-Yearstart)</f>
        <v>66015.887671232529</v>
      </c>
      <c r="I142" s="201" t="str">
        <f t="shared" si="18"/>
        <v xml:space="preserve"> - </v>
      </c>
      <c r="J142" s="201" t="str">
        <f t="shared" si="19"/>
        <v xml:space="preserve"> - </v>
      </c>
    </row>
    <row r="143" spans="2:10" x14ac:dyDescent="0.2">
      <c r="B143" s="118" t="s">
        <v>85</v>
      </c>
      <c r="C143" s="116">
        <f>IF(Cover!$C$23="Scheme pipeline",'3.2 Regulatory Asset Base'!$H$78*'6. Pricing template'!C27,C98+'3.1 Depreciated Book Value'!$D$80*'6. Pricing template'!C27)</f>
        <v>0</v>
      </c>
      <c r="D143" s="203" t="str">
        <f t="shared" si="14"/>
        <v xml:space="preserve"> - </v>
      </c>
      <c r="E143" s="203" t="str">
        <f t="shared" si="15"/>
        <v xml:space="preserve"> - </v>
      </c>
      <c r="F143" s="116" t="str">
        <f t="shared" si="16"/>
        <v xml:space="preserve"> -</v>
      </c>
      <c r="G143" s="116" t="str">
        <f t="shared" si="17"/>
        <v xml:space="preserve"> -</v>
      </c>
      <c r="H143" s="169">
        <f>INDEX('5. Historical demand'!$C$26:$C$35,MATCH(B143,'5. Historical demand'!$B$26:$B$35,0),1)*(Yearending-Yearstart)</f>
        <v>0</v>
      </c>
      <c r="I143" s="201" t="str">
        <f t="shared" si="18"/>
        <v xml:space="preserve"> - </v>
      </c>
      <c r="J143" s="201" t="str">
        <f t="shared" si="19"/>
        <v xml:space="preserve"> - </v>
      </c>
    </row>
    <row r="144" spans="2:10" x14ac:dyDescent="0.2">
      <c r="B144" s="118" t="s">
        <v>86</v>
      </c>
      <c r="C144" s="116">
        <f>IF(Cover!$C$23="Scheme pipeline",'3.2 Regulatory Asset Base'!$H$78*'6. Pricing template'!C28,C99+'3.1 Depreciated Book Value'!$D$80*'6. Pricing template'!C28)</f>
        <v>0</v>
      </c>
      <c r="D144" s="203" t="str">
        <f t="shared" si="14"/>
        <v xml:space="preserve"> - </v>
      </c>
      <c r="E144" s="203" t="str">
        <f t="shared" si="15"/>
        <v xml:space="preserve"> - </v>
      </c>
      <c r="F144" s="116" t="str">
        <f t="shared" si="16"/>
        <v xml:space="preserve"> -</v>
      </c>
      <c r="G144" s="116" t="str">
        <f t="shared" si="17"/>
        <v xml:space="preserve"> -</v>
      </c>
      <c r="H144" s="169">
        <f>INDEX('5. Historical demand'!$C$26:$C$35,MATCH(B144,'5. Historical demand'!$B$26:$B$35,0),1)*(Yearending-Yearstart)</f>
        <v>0</v>
      </c>
      <c r="I144" s="201" t="str">
        <f t="shared" si="18"/>
        <v xml:space="preserve"> - </v>
      </c>
      <c r="J144" s="201" t="str">
        <f t="shared" si="19"/>
        <v xml:space="preserve"> - </v>
      </c>
    </row>
    <row r="145" spans="2:10" x14ac:dyDescent="0.2">
      <c r="B145" s="118" t="s">
        <v>88</v>
      </c>
      <c r="C145" s="116">
        <f>IF(Cover!$C$23="Scheme pipeline",'3.2 Regulatory Asset Base'!$H$78*'6. Pricing template'!C29,C100+'3.1 Depreciated Book Value'!$D$80*'6. Pricing template'!C29)</f>
        <v>0</v>
      </c>
      <c r="D145" s="203" t="str">
        <f t="shared" si="14"/>
        <v xml:space="preserve"> - </v>
      </c>
      <c r="E145" s="203" t="str">
        <f t="shared" si="15"/>
        <v xml:space="preserve"> - </v>
      </c>
      <c r="F145" s="116" t="str">
        <f t="shared" si="16"/>
        <v xml:space="preserve"> -</v>
      </c>
      <c r="G145" s="116" t="str">
        <f t="shared" si="17"/>
        <v xml:space="preserve"> -</v>
      </c>
      <c r="H145" s="169">
        <f>INDEX('5. Historical demand'!$C$26:$C$35,MATCH(B145,'5. Historical demand'!$B$26:$B$35,0),1)*(Yearending-Yearstart)</f>
        <v>0</v>
      </c>
      <c r="I145" s="201" t="str">
        <f t="shared" si="18"/>
        <v xml:space="preserve"> - </v>
      </c>
      <c r="J145" s="201" t="str">
        <f t="shared" si="19"/>
        <v xml:space="preserve"> - </v>
      </c>
    </row>
    <row r="146" spans="2:10" x14ac:dyDescent="0.2">
      <c r="B146" s="118" t="s">
        <v>90</v>
      </c>
      <c r="C146" s="116">
        <f>IF(Cover!$C$23="Scheme pipeline",'3.2 Regulatory Asset Base'!$H$78*'6. Pricing template'!C30,C101+'3.1 Depreciated Book Value'!$D$80*'6. Pricing template'!C30)</f>
        <v>32792040.216591556</v>
      </c>
      <c r="D146" s="203" t="str">
        <f t="shared" si="14"/>
        <v xml:space="preserve"> - </v>
      </c>
      <c r="E146" s="203" t="str">
        <f t="shared" si="15"/>
        <v xml:space="preserve"> - </v>
      </c>
      <c r="F146" s="116" t="str">
        <f t="shared" si="16"/>
        <v xml:space="preserve"> -</v>
      </c>
      <c r="G146" s="116" t="str">
        <f t="shared" si="17"/>
        <v xml:space="preserve"> -</v>
      </c>
      <c r="H146" s="169">
        <f>INDEX('5. Historical demand'!$C$26:$C$35,MATCH(B146,'5. Historical demand'!$B$26:$B$35,0),1)*(Yearending-Yearstart)</f>
        <v>0</v>
      </c>
      <c r="I146" s="201" t="str">
        <f t="shared" si="18"/>
        <v xml:space="preserve"> - </v>
      </c>
      <c r="J146" s="201" t="str">
        <f t="shared" si="19"/>
        <v xml:space="preserve"> - </v>
      </c>
    </row>
    <row r="148" spans="2:10" s="283" customFormat="1" ht="25.5" customHeight="1" x14ac:dyDescent="0.2">
      <c r="B148" s="281" t="s">
        <v>458</v>
      </c>
      <c r="C148" s="172" t="s">
        <v>456</v>
      </c>
      <c r="D148" s="202" t="s">
        <v>412</v>
      </c>
      <c r="E148" s="202" t="s">
        <v>453</v>
      </c>
      <c r="F148" s="202" t="s">
        <v>363</v>
      </c>
      <c r="G148" s="202" t="s">
        <v>457</v>
      </c>
      <c r="H148" s="172" t="s">
        <v>436</v>
      </c>
      <c r="I148" s="282" t="s">
        <v>429</v>
      </c>
      <c r="J148" s="282" t="s">
        <v>430</v>
      </c>
    </row>
    <row r="149" spans="2:10" x14ac:dyDescent="0.2">
      <c r="B149" s="118" t="s">
        <v>78</v>
      </c>
      <c r="C149" s="116">
        <f>IF(Cover!$C$23="Scheme pipeline",'3.2 Regulatory Asset Base'!$H$78*'6. Pricing template'!C21,C92+'3.1 Depreciated Book Value'!$D$80*'6. Pricing template'!C21)</f>
        <v>98054490.508779481</v>
      </c>
      <c r="D149" s="203">
        <f t="shared" ref="D149:D158" si="20">IF($E$25=0," - ",$E$25)</f>
        <v>6.3399999999999998E-2</v>
      </c>
      <c r="E149" s="203">
        <f t="shared" ref="E149:E158" si="21">IFERROR((($E$25-$E$21*$E$22)/(1-$E$22)/(1-$E$23*(1-$E$24))-($E$25-$E$21*$E$22)/(1-$E$22))*(1-$E$22)," - ")</f>
        <v>6.3965853658536579E-3</v>
      </c>
      <c r="F149" s="116">
        <f t="shared" ref="F149:F158" si="22">IFERROR(C149*D149, " -")</f>
        <v>6216654.6982566193</v>
      </c>
      <c r="G149" s="116">
        <f t="shared" ref="G149:G158" si="23">IFERROR(C149*E149, " -")</f>
        <v>627213.91904469521</v>
      </c>
      <c r="H149" s="169">
        <f>INDEX('5. Historical demand'!$C$26:$C$35,MATCH(B149,'5. Historical demand'!$B$26:$B$35,0),1)*(Yearending-Yearstart)</f>
        <v>28944.275360000094</v>
      </c>
      <c r="I149" s="201">
        <f>IFERROR(F149/(H149*1000)," - ")</f>
        <v>0.21478011181609349</v>
      </c>
      <c r="J149" s="201">
        <f>IFERROR(G149/(H149*1000)," - ")</f>
        <v>2.1669705364656715E-2</v>
      </c>
    </row>
    <row r="150" spans="2:10" x14ac:dyDescent="0.2">
      <c r="B150" s="118" t="s">
        <v>80</v>
      </c>
      <c r="C150" s="116">
        <f>IF(Cover!$C$23="Scheme pipeline",'3.2 Regulatory Asset Base'!$H$78*'6. Pricing template'!C22,C93+'3.1 Depreciated Book Value'!$D$80*'6. Pricing template'!C22)</f>
        <v>384335.33760125918</v>
      </c>
      <c r="D150" s="203">
        <f t="shared" si="20"/>
        <v>6.3399999999999998E-2</v>
      </c>
      <c r="E150" s="203">
        <f t="shared" si="21"/>
        <v>6.3965853658536579E-3</v>
      </c>
      <c r="F150" s="116">
        <f t="shared" si="22"/>
        <v>24366.860403919833</v>
      </c>
      <c r="G150" s="116">
        <f t="shared" si="23"/>
        <v>2458.4337960806397</v>
      </c>
      <c r="H150" s="169">
        <f>INDEX('5. Historical demand'!$C$26:$C$35,MATCH(B150,'5. Historical demand'!$B$26:$B$35,0),1)*(Yearending-Yearstart)</f>
        <v>0</v>
      </c>
      <c r="I150" s="201" t="str">
        <f t="shared" ref="I150:I158" si="24">IFERROR(F150/(H150*1000)," - ")</f>
        <v xml:space="preserve"> - </v>
      </c>
      <c r="J150" s="201" t="str">
        <f t="shared" ref="J150:J158" si="25">IFERROR(G150/(H150*1000)," - ")</f>
        <v xml:space="preserve"> - </v>
      </c>
    </row>
    <row r="151" spans="2:10" x14ac:dyDescent="0.2">
      <c r="B151" s="118" t="s">
        <v>81</v>
      </c>
      <c r="C151" s="116">
        <f>IF(Cover!$C$23="Scheme pipeline",'3.2 Regulatory Asset Base'!$H$78*'6. Pricing template'!C23,C94+'3.1 Depreciated Book Value'!$D$80*'6. Pricing template'!C23)</f>
        <v>10543431.21275335</v>
      </c>
      <c r="D151" s="203">
        <f t="shared" si="20"/>
        <v>6.3399999999999998E-2</v>
      </c>
      <c r="E151" s="203">
        <f t="shared" si="21"/>
        <v>6.3965853658536579E-3</v>
      </c>
      <c r="F151" s="116">
        <f t="shared" si="22"/>
        <v>668453.53888856235</v>
      </c>
      <c r="G151" s="116">
        <f t="shared" si="23"/>
        <v>67441.957801382756</v>
      </c>
      <c r="H151" s="169">
        <f>INDEX('5. Historical demand'!$C$26:$C$35,MATCH(B151,'5. Historical demand'!$B$26:$B$35,0),1)*(Yearending-Yearstart)</f>
        <v>0</v>
      </c>
      <c r="I151" s="201" t="str">
        <f t="shared" si="24"/>
        <v xml:space="preserve"> - </v>
      </c>
      <c r="J151" s="201" t="str">
        <f t="shared" si="25"/>
        <v xml:space="preserve"> - </v>
      </c>
    </row>
    <row r="152" spans="2:10" x14ac:dyDescent="0.2">
      <c r="B152" s="118" t="s">
        <v>82</v>
      </c>
      <c r="C152" s="116">
        <f>IF(Cover!$C$23="Scheme pipeline",'3.2 Regulatory Asset Base'!$H$78*'6. Pricing template'!C24,C95+'3.1 Depreciated Book Value'!$D$80*'6. Pricing template'!C24)</f>
        <v>0</v>
      </c>
      <c r="D152" s="203">
        <f t="shared" si="20"/>
        <v>6.3399999999999998E-2</v>
      </c>
      <c r="E152" s="203">
        <f t="shared" si="21"/>
        <v>6.3965853658536579E-3</v>
      </c>
      <c r="F152" s="116">
        <f t="shared" si="22"/>
        <v>0</v>
      </c>
      <c r="G152" s="116">
        <f t="shared" si="23"/>
        <v>0</v>
      </c>
      <c r="H152" s="169">
        <f>INDEX('5. Historical demand'!$C$26:$C$35,MATCH(B152,'5. Historical demand'!$B$26:$B$35,0),1)*(Yearending-Yearstart)</f>
        <v>0</v>
      </c>
      <c r="I152" s="201" t="str">
        <f t="shared" si="24"/>
        <v xml:space="preserve"> - </v>
      </c>
      <c r="J152" s="201" t="str">
        <f t="shared" si="25"/>
        <v xml:space="preserve"> - </v>
      </c>
    </row>
    <row r="153" spans="2:10" x14ac:dyDescent="0.2">
      <c r="B153" s="194" t="s">
        <v>83</v>
      </c>
      <c r="C153" s="116">
        <f>IF(Cover!$C$23="Scheme pipeline",'3.2 Regulatory Asset Base'!$H$78*'6. Pricing template'!C25,C96+'3.1 Depreciated Book Value'!$D$80*'6. Pricing template'!C25)</f>
        <v>0</v>
      </c>
      <c r="D153" s="203">
        <f t="shared" si="20"/>
        <v>6.3399999999999998E-2</v>
      </c>
      <c r="E153" s="203">
        <f t="shared" si="21"/>
        <v>6.3965853658536579E-3</v>
      </c>
      <c r="F153" s="116">
        <f t="shared" si="22"/>
        <v>0</v>
      </c>
      <c r="G153" s="116">
        <f t="shared" si="23"/>
        <v>0</v>
      </c>
      <c r="H153" s="169">
        <f>INDEX('5. Historical demand'!$C$26:$C$35,MATCH(B153,'5. Historical demand'!$B$26:$B$35,0),1)*(Yearending-Yearstart)</f>
        <v>0</v>
      </c>
      <c r="I153" s="201" t="str">
        <f t="shared" si="24"/>
        <v xml:space="preserve"> - </v>
      </c>
      <c r="J153" s="201" t="str">
        <f t="shared" si="25"/>
        <v xml:space="preserve"> - </v>
      </c>
    </row>
    <row r="154" spans="2:10" x14ac:dyDescent="0.2">
      <c r="B154" s="118" t="s">
        <v>84</v>
      </c>
      <c r="C154" s="116">
        <f>IF(Cover!$C$23="Scheme pipeline",'3.2 Regulatory Asset Base'!$H$78*'6. Pricing template'!C26,C97+'3.1 Depreciated Book Value'!$D$80*'6. Pricing template'!C26)</f>
        <v>111870869.69353996</v>
      </c>
      <c r="D154" s="203">
        <f t="shared" si="20"/>
        <v>6.3399999999999998E-2</v>
      </c>
      <c r="E154" s="203">
        <f t="shared" si="21"/>
        <v>6.3965853658536579E-3</v>
      </c>
      <c r="F154" s="116">
        <f t="shared" si="22"/>
        <v>7092613.1385704335</v>
      </c>
      <c r="G154" s="116">
        <f t="shared" si="23"/>
        <v>715591.56794701924</v>
      </c>
      <c r="H154" s="169">
        <f>INDEX('5. Historical demand'!$C$26:$C$35,MATCH(B154,'5. Historical demand'!$B$26:$B$35,0),1)*(Yearending-Yearstart)</f>
        <v>66015.887671232529</v>
      </c>
      <c r="I154" s="201">
        <f t="shared" si="24"/>
        <v>0.10743797271790911</v>
      </c>
      <c r="J154" s="201">
        <f t="shared" si="25"/>
        <v>1.08396871297218E-2</v>
      </c>
    </row>
    <row r="155" spans="2:10" x14ac:dyDescent="0.2">
      <c r="B155" s="118" t="s">
        <v>85</v>
      </c>
      <c r="C155" s="116">
        <f>IF(Cover!$C$23="Scheme pipeline",'3.2 Regulatory Asset Base'!$H$78*'6. Pricing template'!C27,C98+'3.1 Depreciated Book Value'!$D$80*'6. Pricing template'!C27)</f>
        <v>0</v>
      </c>
      <c r="D155" s="203">
        <f t="shared" si="20"/>
        <v>6.3399999999999998E-2</v>
      </c>
      <c r="E155" s="203">
        <f t="shared" si="21"/>
        <v>6.3965853658536579E-3</v>
      </c>
      <c r="F155" s="116">
        <f t="shared" si="22"/>
        <v>0</v>
      </c>
      <c r="G155" s="116">
        <f t="shared" si="23"/>
        <v>0</v>
      </c>
      <c r="H155" s="169">
        <f>INDEX('5. Historical demand'!$C$26:$C$35,MATCH(B155,'5. Historical demand'!$B$26:$B$35,0),1)*(Yearending-Yearstart)</f>
        <v>0</v>
      </c>
      <c r="I155" s="201" t="str">
        <f t="shared" si="24"/>
        <v xml:space="preserve"> - </v>
      </c>
      <c r="J155" s="201" t="str">
        <f t="shared" si="25"/>
        <v xml:space="preserve"> - </v>
      </c>
    </row>
    <row r="156" spans="2:10" x14ac:dyDescent="0.2">
      <c r="B156" s="118" t="s">
        <v>86</v>
      </c>
      <c r="C156" s="116">
        <f>IF(Cover!$C$23="Scheme pipeline",'3.2 Regulatory Asset Base'!$H$78*'6. Pricing template'!C28,C99+'3.1 Depreciated Book Value'!$D$80*'6. Pricing template'!C28)</f>
        <v>0</v>
      </c>
      <c r="D156" s="203">
        <f t="shared" si="20"/>
        <v>6.3399999999999998E-2</v>
      </c>
      <c r="E156" s="203">
        <f t="shared" si="21"/>
        <v>6.3965853658536579E-3</v>
      </c>
      <c r="F156" s="116">
        <f t="shared" si="22"/>
        <v>0</v>
      </c>
      <c r="G156" s="116">
        <f t="shared" si="23"/>
        <v>0</v>
      </c>
      <c r="H156" s="169">
        <f>INDEX('5. Historical demand'!$C$26:$C$35,MATCH(B156,'5. Historical demand'!$B$26:$B$35,0),1)*(Yearending-Yearstart)</f>
        <v>0</v>
      </c>
      <c r="I156" s="201" t="str">
        <f t="shared" si="24"/>
        <v xml:space="preserve"> - </v>
      </c>
      <c r="J156" s="201" t="str">
        <f t="shared" si="25"/>
        <v xml:space="preserve"> - </v>
      </c>
    </row>
    <row r="157" spans="2:10" x14ac:dyDescent="0.2">
      <c r="B157" s="118" t="s">
        <v>88</v>
      </c>
      <c r="C157" s="116">
        <f>IF(Cover!$C$23="Scheme pipeline",'3.2 Regulatory Asset Base'!$H$78*'6. Pricing template'!C29,C100+'3.1 Depreciated Book Value'!$D$80*'6. Pricing template'!C29)</f>
        <v>0</v>
      </c>
      <c r="D157" s="203">
        <f t="shared" si="20"/>
        <v>6.3399999999999998E-2</v>
      </c>
      <c r="E157" s="203">
        <f t="shared" si="21"/>
        <v>6.3965853658536579E-3</v>
      </c>
      <c r="F157" s="116">
        <f t="shared" si="22"/>
        <v>0</v>
      </c>
      <c r="G157" s="116">
        <f t="shared" si="23"/>
        <v>0</v>
      </c>
      <c r="H157" s="169">
        <f>INDEX('5. Historical demand'!$C$26:$C$35,MATCH(B157,'5. Historical demand'!$B$26:$B$35,0),1)*(Yearending-Yearstart)</f>
        <v>0</v>
      </c>
      <c r="I157" s="201" t="str">
        <f t="shared" si="24"/>
        <v xml:space="preserve"> - </v>
      </c>
      <c r="J157" s="201" t="str">
        <f t="shared" si="25"/>
        <v xml:space="preserve"> - </v>
      </c>
    </row>
    <row r="158" spans="2:10" x14ac:dyDescent="0.2">
      <c r="B158" s="118" t="s">
        <v>90</v>
      </c>
      <c r="C158" s="116">
        <f>IF(Cover!$C$23="Scheme pipeline",'3.2 Regulatory Asset Base'!$H$78*'6. Pricing template'!C30,C101+'3.1 Depreciated Book Value'!$D$80*'6. Pricing template'!C30)</f>
        <v>32792040.216591556</v>
      </c>
      <c r="D158" s="203">
        <f t="shared" si="20"/>
        <v>6.3399999999999998E-2</v>
      </c>
      <c r="E158" s="203">
        <f t="shared" si="21"/>
        <v>6.3965853658536579E-3</v>
      </c>
      <c r="F158" s="116">
        <f t="shared" si="22"/>
        <v>2079015.3497319045</v>
      </c>
      <c r="G158" s="116">
        <f t="shared" si="23"/>
        <v>209757.08456593417</v>
      </c>
      <c r="H158" s="169">
        <f>INDEX('5. Historical demand'!$C$26:$C$35,MATCH(B158,'5. Historical demand'!$B$26:$B$35,0),1)*(Yearending-Yearstart)</f>
        <v>0</v>
      </c>
      <c r="I158" s="201" t="str">
        <f t="shared" si="24"/>
        <v xml:space="preserve"> - </v>
      </c>
      <c r="J158" s="201" t="str">
        <f t="shared" si="25"/>
        <v xml:space="preserve"> - </v>
      </c>
    </row>
    <row r="188" s="190" customFormat="1" ht="27" customHeight="1" x14ac:dyDescent="0.2"/>
    <row r="195" s="190" customFormat="1" ht="31.7" customHeight="1" x14ac:dyDescent="0.2"/>
  </sheetData>
  <sheetProtection algorithmName="SHA-512" hashValue="mVTWNQkqpgZDO8qgIn6GtpanEQcUDi6ko0ljW11IG2Lt4GHCyCAvKOIMZplt2uNiNAsVW2vVYsyyqRe8txqspA==" saltValue="6iD2pJTk9BmIak5eIiYBzQ==" spinCount="100000" sheet="1" objects="1" scenarios="1"/>
  <mergeCells count="36">
    <mergeCell ref="B47:B48"/>
    <mergeCell ref="H39:H40"/>
    <mergeCell ref="H55:H56"/>
    <mergeCell ref="H53:H54"/>
    <mergeCell ref="H37:H38"/>
    <mergeCell ref="H41:H42"/>
    <mergeCell ref="H43:H44"/>
    <mergeCell ref="H45:H46"/>
    <mergeCell ref="H47:H48"/>
    <mergeCell ref="B43:B44"/>
    <mergeCell ref="B49:B50"/>
    <mergeCell ref="B51:B52"/>
    <mergeCell ref="H49:H50"/>
    <mergeCell ref="H51:H52"/>
    <mergeCell ref="B18:C18"/>
    <mergeCell ref="D18:E18"/>
    <mergeCell ref="B37:B38"/>
    <mergeCell ref="B39:B40"/>
    <mergeCell ref="B41:B42"/>
    <mergeCell ref="D19:D20"/>
    <mergeCell ref="B7:D13"/>
    <mergeCell ref="J62:K62"/>
    <mergeCell ref="H61:K61"/>
    <mergeCell ref="E61:G61"/>
    <mergeCell ref="E62:E63"/>
    <mergeCell ref="F62:F63"/>
    <mergeCell ref="G62:G63"/>
    <mergeCell ref="B19:B20"/>
    <mergeCell ref="E19:E20"/>
    <mergeCell ref="B45:B46"/>
    <mergeCell ref="H62:I62"/>
    <mergeCell ref="C62:C63"/>
    <mergeCell ref="D62:D63"/>
    <mergeCell ref="B53:B54"/>
    <mergeCell ref="C61:D61"/>
    <mergeCell ref="B55:B56"/>
  </mergeCells>
  <conditionalFormatting sqref="C31">
    <cfRule type="cellIs" dxfId="1" priority="1" stopIfTrue="1" operator="lessThan">
      <formula>1</formula>
    </cfRule>
    <cfRule type="cellIs" dxfId="0" priority="2" stopIfTrue="1" operator="greaterThan">
      <formula>1</formula>
    </cfRule>
  </conditionalFormatting>
  <pageMargins left="0.25" right="0.25" top="0.75" bottom="0.75" header="0.3" footer="0.3"/>
  <pageSetup paperSize="8" scale="49"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pageSetUpPr fitToPage="1"/>
  </sheetPr>
  <dimension ref="A1:H17"/>
  <sheetViews>
    <sheetView workbookViewId="0">
      <selection activeCell="G4" sqref="G4"/>
    </sheetView>
  </sheetViews>
  <sheetFormatPr defaultColWidth="9.140625" defaultRowHeight="15" customHeight="1" x14ac:dyDescent="0.2"/>
  <cols>
    <col min="1" max="6" width="9.140625" style="159"/>
    <col min="7" max="7" width="28" style="159" bestFit="1" customWidth="1"/>
    <col min="8" max="8" width="18.140625" style="159" bestFit="1" customWidth="1"/>
    <col min="9" max="16384" width="9.140625" style="159"/>
  </cols>
  <sheetData>
    <row r="1" spans="1:8" ht="15" customHeight="1" x14ac:dyDescent="0.2">
      <c r="A1" s="159" t="s">
        <v>459</v>
      </c>
      <c r="G1" s="159" t="s">
        <v>460</v>
      </c>
      <c r="H1" s="159" t="s">
        <v>460</v>
      </c>
    </row>
    <row r="3" spans="1:8" ht="15" customHeight="1" x14ac:dyDescent="0.2">
      <c r="A3" s="160" t="s">
        <v>203</v>
      </c>
      <c r="G3" s="159" t="s">
        <v>461</v>
      </c>
      <c r="H3" s="159" t="s">
        <v>462</v>
      </c>
    </row>
    <row r="4" spans="1:8" ht="15" customHeight="1" x14ac:dyDescent="0.2">
      <c r="A4" s="160" t="s">
        <v>212</v>
      </c>
      <c r="G4" s="159" t="s">
        <v>463</v>
      </c>
      <c r="H4" s="159" t="s">
        <v>464</v>
      </c>
    </row>
    <row r="5" spans="1:8" ht="15" customHeight="1" x14ac:dyDescent="0.2">
      <c r="A5" s="160" t="s">
        <v>214</v>
      </c>
      <c r="G5" s="159" t="s">
        <v>465</v>
      </c>
      <c r="H5" s="159" t="s">
        <v>466</v>
      </c>
    </row>
    <row r="6" spans="1:8" ht="15" customHeight="1" x14ac:dyDescent="0.2">
      <c r="A6" s="160" t="s">
        <v>216</v>
      </c>
    </row>
    <row r="7" spans="1:8" ht="15" customHeight="1" x14ac:dyDescent="0.2">
      <c r="A7" s="160" t="s">
        <v>219</v>
      </c>
    </row>
    <row r="8" spans="1:8" ht="15" customHeight="1" x14ac:dyDescent="0.2">
      <c r="A8" s="160" t="s">
        <v>221</v>
      </c>
    </row>
    <row r="9" spans="1:8" ht="15" customHeight="1" x14ac:dyDescent="0.2">
      <c r="A9" s="160" t="s">
        <v>223</v>
      </c>
    </row>
    <row r="10" spans="1:8" ht="15" customHeight="1" x14ac:dyDescent="0.2">
      <c r="A10" s="160" t="s">
        <v>225</v>
      </c>
    </row>
    <row r="11" spans="1:8" ht="15" customHeight="1" x14ac:dyDescent="0.2">
      <c r="A11" s="160" t="s">
        <v>227</v>
      </c>
    </row>
    <row r="12" spans="1:8" ht="15" customHeight="1" x14ac:dyDescent="0.2">
      <c r="A12" s="159" t="s">
        <v>229</v>
      </c>
    </row>
    <row r="13" spans="1:8" ht="15" customHeight="1" x14ac:dyDescent="0.2">
      <c r="A13" s="159" t="s">
        <v>236</v>
      </c>
    </row>
    <row r="14" spans="1:8" ht="15" customHeight="1" x14ac:dyDescent="0.2">
      <c r="A14" s="159" t="s">
        <v>238</v>
      </c>
    </row>
    <row r="15" spans="1:8" ht="15" customHeight="1" x14ac:dyDescent="0.2">
      <c r="A15" s="159" t="s">
        <v>467</v>
      </c>
    </row>
    <row r="16" spans="1:8" ht="15" customHeight="1" x14ac:dyDescent="0.2">
      <c r="A16" s="159" t="s">
        <v>241</v>
      </c>
    </row>
    <row r="17" spans="1:1" ht="15" customHeight="1" x14ac:dyDescent="0.2">
      <c r="A17" s="159" t="s">
        <v>468</v>
      </c>
    </row>
  </sheetData>
  <pageMargins left="0.7" right="0.7" top="0.75" bottom="0.75" header="0.3" footer="0.3"/>
  <pageSetup paperSize="9" orientation="landscape" r:id="rId1"/>
  <headerFooter>
    <oddFooter>&amp;L&amp;8&amp;F&amp;D&amp;T&amp;C&amp;8&amp;A&amp;R&amp;8Page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I123"/>
  <sheetViews>
    <sheetView zoomScaleNormal="100" workbookViewId="0"/>
  </sheetViews>
  <sheetFormatPr defaultRowHeight="12.75" x14ac:dyDescent="0.2"/>
  <cols>
    <col min="1" max="1" width="10.85546875" customWidth="1"/>
    <col min="2" max="2" width="20" style="5" customWidth="1"/>
    <col min="3" max="3" width="27.42578125" customWidth="1"/>
    <col min="4" max="4" width="16.85546875" style="5" bestFit="1" customWidth="1"/>
    <col min="5" max="5" width="19.85546875" customWidth="1"/>
    <col min="6" max="6" width="21.42578125" customWidth="1"/>
    <col min="7" max="7" width="59" customWidth="1"/>
    <col min="8" max="8" width="2.85546875" customWidth="1"/>
  </cols>
  <sheetData>
    <row r="1" spans="1:9" x14ac:dyDescent="0.2">
      <c r="A1" s="6" t="s">
        <v>469</v>
      </c>
      <c r="B1" s="7" t="s">
        <v>470</v>
      </c>
      <c r="C1" s="6" t="s">
        <v>471</v>
      </c>
      <c r="D1" s="7" t="s">
        <v>472</v>
      </c>
      <c r="E1" s="6" t="s">
        <v>473</v>
      </c>
      <c r="F1" s="6" t="s">
        <v>474</v>
      </c>
      <c r="G1" s="6" t="s">
        <v>475</v>
      </c>
    </row>
    <row r="2" spans="1:9" s="10" customFormat="1" ht="25.5" x14ac:dyDescent="0.2">
      <c r="A2" s="8">
        <v>43314</v>
      </c>
      <c r="B2" s="9">
        <v>1</v>
      </c>
      <c r="C2" s="10" t="s">
        <v>476</v>
      </c>
      <c r="D2" s="9"/>
      <c r="F2" s="11" t="s">
        <v>477</v>
      </c>
      <c r="G2" s="11" t="s">
        <v>478</v>
      </c>
    </row>
    <row r="3" spans="1:9" s="10" customFormat="1" ht="25.5" x14ac:dyDescent="0.2">
      <c r="A3" s="8">
        <v>43318</v>
      </c>
      <c r="B3" s="9">
        <v>2</v>
      </c>
      <c r="C3" s="10" t="s">
        <v>479</v>
      </c>
      <c r="D3" s="9">
        <v>2.1</v>
      </c>
      <c r="E3" s="10" t="s">
        <v>480</v>
      </c>
      <c r="F3" s="10" t="s">
        <v>481</v>
      </c>
      <c r="G3" s="11" t="s">
        <v>482</v>
      </c>
      <c r="I3" s="13"/>
    </row>
    <row r="4" spans="1:9" s="10" customFormat="1" ht="25.5" x14ac:dyDescent="0.2">
      <c r="A4" s="8">
        <v>43314</v>
      </c>
      <c r="B4" s="9">
        <v>3</v>
      </c>
      <c r="C4" s="10" t="s">
        <v>483</v>
      </c>
      <c r="D4" s="9">
        <v>3.1</v>
      </c>
      <c r="E4" s="10" t="s">
        <v>484</v>
      </c>
      <c r="F4" s="10" t="s">
        <v>485</v>
      </c>
      <c r="G4" s="11" t="s">
        <v>486</v>
      </c>
      <c r="I4" s="13"/>
    </row>
    <row r="5" spans="1:9" s="10" customFormat="1" ht="26.25" customHeight="1" x14ac:dyDescent="0.2">
      <c r="A5" s="8">
        <v>43314</v>
      </c>
      <c r="B5" s="9">
        <v>4</v>
      </c>
      <c r="C5" s="10" t="s">
        <v>487</v>
      </c>
      <c r="D5" s="9" t="s">
        <v>488</v>
      </c>
      <c r="E5" s="10" t="s">
        <v>489</v>
      </c>
      <c r="F5" s="10" t="s">
        <v>490</v>
      </c>
      <c r="G5" s="11" t="s">
        <v>491</v>
      </c>
      <c r="I5" s="13"/>
    </row>
    <row r="6" spans="1:9" s="10" customFormat="1" ht="38.25" x14ac:dyDescent="0.2">
      <c r="A6" s="8">
        <v>43318</v>
      </c>
      <c r="B6" s="9">
        <v>5</v>
      </c>
      <c r="C6" s="10" t="s">
        <v>487</v>
      </c>
      <c r="D6" s="9" t="s">
        <v>488</v>
      </c>
      <c r="E6" s="10" t="s">
        <v>492</v>
      </c>
      <c r="F6" s="10" t="s">
        <v>493</v>
      </c>
      <c r="G6" s="11" t="s">
        <v>494</v>
      </c>
      <c r="I6" s="13"/>
    </row>
    <row r="7" spans="1:9" s="10" customFormat="1" ht="89.25" x14ac:dyDescent="0.2">
      <c r="A7" s="8">
        <v>43318</v>
      </c>
      <c r="B7" s="9">
        <v>6</v>
      </c>
      <c r="C7" s="10" t="s">
        <v>487</v>
      </c>
      <c r="D7" s="12" t="s">
        <v>488</v>
      </c>
      <c r="E7" s="13" t="s">
        <v>495</v>
      </c>
      <c r="F7" s="13" t="s">
        <v>496</v>
      </c>
      <c r="G7" s="14" t="s">
        <v>497</v>
      </c>
      <c r="I7" s="13"/>
    </row>
    <row r="8" spans="1:9" x14ac:dyDescent="0.2">
      <c r="A8" s="8">
        <v>43318</v>
      </c>
      <c r="B8" s="9">
        <v>7</v>
      </c>
      <c r="C8" s="10" t="s">
        <v>487</v>
      </c>
      <c r="D8" s="12" t="s">
        <v>488</v>
      </c>
      <c r="E8" s="10" t="s">
        <v>498</v>
      </c>
      <c r="F8" s="10" t="s">
        <v>499</v>
      </c>
      <c r="G8" s="10" t="s">
        <v>500</v>
      </c>
      <c r="I8" s="13"/>
    </row>
    <row r="9" spans="1:9" x14ac:dyDescent="0.2">
      <c r="A9" s="8">
        <v>43991</v>
      </c>
      <c r="B9" s="9">
        <v>8</v>
      </c>
      <c r="C9" s="10" t="s">
        <v>483</v>
      </c>
      <c r="D9" s="9">
        <v>3.1</v>
      </c>
      <c r="E9" s="10" t="s">
        <v>501</v>
      </c>
      <c r="F9" s="10" t="s">
        <v>502</v>
      </c>
      <c r="G9" s="10" t="s">
        <v>503</v>
      </c>
      <c r="I9" s="13"/>
    </row>
    <row r="10" spans="1:9" x14ac:dyDescent="0.2">
      <c r="A10" s="8">
        <v>43991</v>
      </c>
      <c r="B10" s="9">
        <v>9</v>
      </c>
      <c r="C10" s="10" t="s">
        <v>483</v>
      </c>
      <c r="D10" s="9">
        <v>3.1</v>
      </c>
      <c r="E10" s="10" t="s">
        <v>504</v>
      </c>
      <c r="F10" s="10" t="s">
        <v>499</v>
      </c>
      <c r="G10" s="13" t="s">
        <v>505</v>
      </c>
      <c r="I10" s="13"/>
    </row>
    <row r="11" spans="1:9" ht="38.25" x14ac:dyDescent="0.2">
      <c r="A11" s="8">
        <v>43991</v>
      </c>
      <c r="B11" s="9">
        <v>10</v>
      </c>
      <c r="C11" s="10" t="s">
        <v>483</v>
      </c>
      <c r="D11" s="9">
        <v>3.1</v>
      </c>
      <c r="E11" s="11" t="s">
        <v>506</v>
      </c>
      <c r="F11" s="10" t="s">
        <v>507</v>
      </c>
      <c r="G11" s="11" t="s">
        <v>508</v>
      </c>
      <c r="I11" s="13"/>
    </row>
    <row r="12" spans="1:9" x14ac:dyDescent="0.2">
      <c r="A12" s="8">
        <v>43991</v>
      </c>
      <c r="B12" s="9">
        <v>11</v>
      </c>
      <c r="C12" s="10" t="s">
        <v>509</v>
      </c>
      <c r="D12" s="12" t="s">
        <v>510</v>
      </c>
      <c r="E12" s="13" t="s">
        <v>511</v>
      </c>
      <c r="F12" s="13" t="s">
        <v>502</v>
      </c>
      <c r="G12" s="13" t="s">
        <v>512</v>
      </c>
      <c r="I12" s="13"/>
    </row>
    <row r="13" spans="1:9" ht="38.25" x14ac:dyDescent="0.2">
      <c r="A13" s="8">
        <v>44028</v>
      </c>
      <c r="B13" s="9">
        <v>12</v>
      </c>
      <c r="C13" s="13" t="s">
        <v>513</v>
      </c>
      <c r="D13" s="9" t="s">
        <v>514</v>
      </c>
      <c r="E13" s="13" t="s">
        <v>515</v>
      </c>
      <c r="F13" s="14" t="s">
        <v>516</v>
      </c>
      <c r="G13" s="14" t="s">
        <v>517</v>
      </c>
      <c r="I13" s="13"/>
    </row>
    <row r="14" spans="1:9" ht="51" x14ac:dyDescent="0.2">
      <c r="A14" s="8">
        <v>43999</v>
      </c>
      <c r="B14" s="9">
        <v>13</v>
      </c>
      <c r="C14" s="13" t="s">
        <v>518</v>
      </c>
      <c r="D14" s="12" t="s">
        <v>519</v>
      </c>
      <c r="E14" s="13" t="s">
        <v>520</v>
      </c>
      <c r="F14" s="14" t="s">
        <v>521</v>
      </c>
      <c r="G14" s="14" t="s">
        <v>522</v>
      </c>
      <c r="I14" s="13"/>
    </row>
    <row r="15" spans="1:9" x14ac:dyDescent="0.2">
      <c r="A15" s="8">
        <v>43991</v>
      </c>
      <c r="B15" s="9">
        <v>14</v>
      </c>
      <c r="C15" s="10" t="s">
        <v>487</v>
      </c>
      <c r="D15" s="9"/>
      <c r="E15" s="10"/>
      <c r="F15" s="10"/>
      <c r="G15" s="10" t="s">
        <v>523</v>
      </c>
      <c r="I15" s="13"/>
    </row>
    <row r="16" spans="1:9" x14ac:dyDescent="0.2">
      <c r="A16" s="8">
        <v>44038</v>
      </c>
      <c r="B16" s="9">
        <v>15</v>
      </c>
      <c r="C16" s="10" t="s">
        <v>524</v>
      </c>
      <c r="D16" s="12" t="s">
        <v>525</v>
      </c>
      <c r="E16" s="13" t="s">
        <v>526</v>
      </c>
      <c r="F16" s="13" t="s">
        <v>527</v>
      </c>
      <c r="G16" s="14" t="s">
        <v>528</v>
      </c>
      <c r="I16" s="13"/>
    </row>
    <row r="17" spans="1:9" x14ac:dyDescent="0.2">
      <c r="A17" s="16">
        <v>44038</v>
      </c>
      <c r="B17" s="9">
        <v>16</v>
      </c>
      <c r="C17" s="10" t="s">
        <v>483</v>
      </c>
      <c r="D17" s="9">
        <v>3.1</v>
      </c>
      <c r="E17" s="13" t="s">
        <v>529</v>
      </c>
      <c r="F17" s="10" t="s">
        <v>502</v>
      </c>
      <c r="G17" s="13" t="s">
        <v>530</v>
      </c>
      <c r="I17" s="13"/>
    </row>
    <row r="18" spans="1:9" x14ac:dyDescent="0.2">
      <c r="A18" s="16">
        <v>44038</v>
      </c>
      <c r="B18" s="9">
        <v>17</v>
      </c>
      <c r="C18" s="10" t="s">
        <v>483</v>
      </c>
      <c r="D18" s="9">
        <v>3.1</v>
      </c>
      <c r="E18" s="13" t="s">
        <v>531</v>
      </c>
      <c r="F18" s="10" t="s">
        <v>499</v>
      </c>
      <c r="G18" s="13" t="s">
        <v>532</v>
      </c>
      <c r="I18" s="13"/>
    </row>
    <row r="19" spans="1:9" x14ac:dyDescent="0.2">
      <c r="A19" s="8">
        <v>44038</v>
      </c>
      <c r="B19" s="9">
        <v>18</v>
      </c>
      <c r="C19" s="10" t="s">
        <v>524</v>
      </c>
      <c r="D19" s="12" t="s">
        <v>488</v>
      </c>
      <c r="E19" s="13" t="s">
        <v>533</v>
      </c>
      <c r="F19" s="13" t="s">
        <v>534</v>
      </c>
      <c r="G19" s="14" t="s">
        <v>535</v>
      </c>
    </row>
    <row r="20" spans="1:9" x14ac:dyDescent="0.2">
      <c r="A20" s="8">
        <v>44038</v>
      </c>
      <c r="B20" s="9">
        <v>19</v>
      </c>
      <c r="C20" s="16" t="s">
        <v>524</v>
      </c>
      <c r="D20" s="12" t="s">
        <v>525</v>
      </c>
      <c r="E20" s="13" t="s">
        <v>536</v>
      </c>
      <c r="F20" s="13" t="s">
        <v>534</v>
      </c>
      <c r="G20" s="14" t="s">
        <v>537</v>
      </c>
    </row>
    <row r="21" spans="1:9" x14ac:dyDescent="0.2">
      <c r="A21" s="8">
        <v>44038</v>
      </c>
      <c r="B21" s="9">
        <v>20</v>
      </c>
      <c r="C21" s="13" t="s">
        <v>538</v>
      </c>
      <c r="D21" s="9">
        <v>4.0999999999999996</v>
      </c>
      <c r="E21" s="13" t="s">
        <v>539</v>
      </c>
      <c r="F21" s="13" t="s">
        <v>502</v>
      </c>
      <c r="G21" s="13" t="s">
        <v>540</v>
      </c>
      <c r="I21" s="13"/>
    </row>
    <row r="22" spans="1:9" x14ac:dyDescent="0.2">
      <c r="A22" s="8">
        <v>44038</v>
      </c>
      <c r="B22" s="9">
        <v>21</v>
      </c>
      <c r="C22" s="13" t="s">
        <v>538</v>
      </c>
      <c r="D22" s="9">
        <v>4.0999999999999996</v>
      </c>
      <c r="E22" s="13" t="s">
        <v>541</v>
      </c>
      <c r="F22" s="13" t="s">
        <v>542</v>
      </c>
      <c r="G22" s="13" t="s">
        <v>543</v>
      </c>
    </row>
    <row r="23" spans="1:9" ht="25.5" x14ac:dyDescent="0.2">
      <c r="A23" s="8">
        <v>44038</v>
      </c>
      <c r="B23" s="9">
        <v>22</v>
      </c>
      <c r="C23" s="13" t="s">
        <v>538</v>
      </c>
      <c r="D23" s="9">
        <v>4.0999999999999996</v>
      </c>
      <c r="E23" s="14" t="s">
        <v>544</v>
      </c>
      <c r="F23" s="13" t="s">
        <v>499</v>
      </c>
      <c r="G23" s="14" t="s">
        <v>545</v>
      </c>
    </row>
    <row r="24" spans="1:9" ht="25.5" x14ac:dyDescent="0.2">
      <c r="A24" s="8">
        <v>44038</v>
      </c>
      <c r="B24" s="9">
        <v>23</v>
      </c>
      <c r="C24" s="16" t="s">
        <v>524</v>
      </c>
      <c r="D24" s="12" t="s">
        <v>546</v>
      </c>
      <c r="E24" s="14" t="s">
        <v>547</v>
      </c>
      <c r="F24" s="10" t="s">
        <v>493</v>
      </c>
      <c r="G24" s="14" t="s">
        <v>548</v>
      </c>
    </row>
    <row r="25" spans="1:9" x14ac:dyDescent="0.2">
      <c r="A25" s="8">
        <v>44326</v>
      </c>
      <c r="B25" s="9">
        <v>24</v>
      </c>
      <c r="C25" s="16" t="s">
        <v>513</v>
      </c>
      <c r="D25" s="12"/>
      <c r="E25" s="14" t="s">
        <v>549</v>
      </c>
      <c r="F25" s="14" t="s">
        <v>550</v>
      </c>
      <c r="G25" s="11" t="s">
        <v>551</v>
      </c>
    </row>
    <row r="26" spans="1:9" x14ac:dyDescent="0.2">
      <c r="A26" s="8">
        <v>44326</v>
      </c>
      <c r="B26" s="9">
        <v>25</v>
      </c>
      <c r="C26" s="8" t="s">
        <v>552</v>
      </c>
      <c r="D26" s="9"/>
      <c r="E26" s="11" t="s">
        <v>553</v>
      </c>
      <c r="F26" s="10" t="s">
        <v>554</v>
      </c>
      <c r="G26" s="11" t="s">
        <v>555</v>
      </c>
    </row>
    <row r="27" spans="1:9" x14ac:dyDescent="0.2">
      <c r="A27" s="8">
        <v>44326</v>
      </c>
      <c r="B27" s="9">
        <v>26</v>
      </c>
      <c r="C27" s="8" t="s">
        <v>552</v>
      </c>
      <c r="D27" s="9"/>
      <c r="E27" s="11" t="s">
        <v>556</v>
      </c>
      <c r="F27" s="10" t="s">
        <v>554</v>
      </c>
      <c r="G27" s="11" t="s">
        <v>557</v>
      </c>
    </row>
    <row r="28" spans="1:9" ht="25.5" x14ac:dyDescent="0.2">
      <c r="A28" s="8">
        <v>44326</v>
      </c>
      <c r="B28" s="9">
        <v>27</v>
      </c>
      <c r="C28" s="8" t="s">
        <v>552</v>
      </c>
      <c r="D28" s="9"/>
      <c r="E28" s="11" t="s">
        <v>558</v>
      </c>
      <c r="F28" s="10" t="s">
        <v>554</v>
      </c>
      <c r="G28" s="11" t="s">
        <v>559</v>
      </c>
    </row>
    <row r="29" spans="1:9" x14ac:dyDescent="0.2">
      <c r="A29" s="8">
        <v>44326</v>
      </c>
      <c r="B29" s="9">
        <v>28</v>
      </c>
      <c r="C29" s="8" t="s">
        <v>560</v>
      </c>
      <c r="D29" s="9"/>
      <c r="E29" s="11" t="s">
        <v>520</v>
      </c>
      <c r="F29" s="10" t="s">
        <v>561</v>
      </c>
      <c r="G29" s="11" t="s">
        <v>562</v>
      </c>
    </row>
    <row r="30" spans="1:9" ht="38.25" x14ac:dyDescent="0.2">
      <c r="A30" s="8">
        <v>44326</v>
      </c>
      <c r="B30" s="9">
        <v>29</v>
      </c>
      <c r="C30" s="8" t="s">
        <v>418</v>
      </c>
      <c r="D30" s="12"/>
      <c r="E30" s="14"/>
      <c r="F30" s="10" t="s">
        <v>563</v>
      </c>
      <c r="G30" s="11" t="s">
        <v>564</v>
      </c>
    </row>
    <row r="31" spans="1:9" ht="25.5" x14ac:dyDescent="0.2">
      <c r="A31" s="8">
        <v>44326</v>
      </c>
      <c r="B31" s="9">
        <v>30</v>
      </c>
      <c r="C31" s="13" t="s">
        <v>565</v>
      </c>
      <c r="D31" s="9">
        <v>1.2</v>
      </c>
      <c r="E31" s="13" t="s">
        <v>566</v>
      </c>
      <c r="F31" s="13" t="s">
        <v>493</v>
      </c>
      <c r="G31" s="19" t="s">
        <v>567</v>
      </c>
    </row>
    <row r="32" spans="1:9" ht="102" x14ac:dyDescent="0.2">
      <c r="A32" s="8">
        <v>44326</v>
      </c>
      <c r="B32" s="9">
        <v>31</v>
      </c>
      <c r="C32" s="13" t="s">
        <v>568</v>
      </c>
      <c r="D32" s="9">
        <v>2.1</v>
      </c>
      <c r="E32" s="11" t="s">
        <v>569</v>
      </c>
      <c r="F32" s="13" t="s">
        <v>570</v>
      </c>
      <c r="G32" s="14" t="s">
        <v>571</v>
      </c>
    </row>
    <row r="33" spans="1:7" ht="25.5" x14ac:dyDescent="0.2">
      <c r="A33" s="8">
        <v>44326</v>
      </c>
      <c r="B33" s="9">
        <v>32</v>
      </c>
      <c r="C33" s="13" t="s">
        <v>568</v>
      </c>
      <c r="D33" s="9">
        <v>2.1</v>
      </c>
      <c r="E33" s="11" t="s">
        <v>572</v>
      </c>
      <c r="F33" s="13" t="s">
        <v>499</v>
      </c>
      <c r="G33" s="14" t="s">
        <v>573</v>
      </c>
    </row>
    <row r="34" spans="1:7" ht="25.5" x14ac:dyDescent="0.2">
      <c r="A34" s="8">
        <v>44326</v>
      </c>
      <c r="B34" s="9">
        <v>33</v>
      </c>
      <c r="C34" s="13" t="s">
        <v>568</v>
      </c>
      <c r="D34" s="9">
        <v>2.1</v>
      </c>
      <c r="E34" s="10" t="s">
        <v>574</v>
      </c>
      <c r="F34" s="10" t="s">
        <v>499</v>
      </c>
      <c r="G34" s="11" t="s">
        <v>575</v>
      </c>
    </row>
    <row r="35" spans="1:7" x14ac:dyDescent="0.2">
      <c r="A35" s="8">
        <v>44326</v>
      </c>
      <c r="B35" s="9">
        <v>34</v>
      </c>
      <c r="C35" s="13" t="s">
        <v>568</v>
      </c>
      <c r="D35" s="9">
        <v>2.1</v>
      </c>
      <c r="E35" s="10" t="s">
        <v>576</v>
      </c>
      <c r="F35" s="10" t="s">
        <v>577</v>
      </c>
      <c r="G35" s="11" t="s">
        <v>578</v>
      </c>
    </row>
    <row r="36" spans="1:7" x14ac:dyDescent="0.2">
      <c r="A36" s="8">
        <v>44326</v>
      </c>
      <c r="B36" s="9">
        <v>35</v>
      </c>
      <c r="C36" s="13" t="s">
        <v>568</v>
      </c>
      <c r="D36" s="9">
        <v>2.1</v>
      </c>
      <c r="E36" s="10" t="s">
        <v>579</v>
      </c>
      <c r="F36" s="10" t="s">
        <v>493</v>
      </c>
      <c r="G36" s="11" t="s">
        <v>580</v>
      </c>
    </row>
    <row r="37" spans="1:7" ht="25.5" x14ac:dyDescent="0.2">
      <c r="A37" s="8">
        <v>44326</v>
      </c>
      <c r="B37" s="9">
        <v>36</v>
      </c>
      <c r="C37" s="13" t="s">
        <v>568</v>
      </c>
      <c r="D37" s="9">
        <v>2.1</v>
      </c>
      <c r="E37" s="10" t="s">
        <v>581</v>
      </c>
      <c r="F37" s="10" t="s">
        <v>499</v>
      </c>
      <c r="G37" s="11" t="s">
        <v>582</v>
      </c>
    </row>
    <row r="38" spans="1:7" ht="25.5" x14ac:dyDescent="0.2">
      <c r="A38" s="8">
        <v>44326</v>
      </c>
      <c r="B38" s="9">
        <v>37</v>
      </c>
      <c r="C38" s="13" t="s">
        <v>583</v>
      </c>
      <c r="D38" s="9" t="s">
        <v>584</v>
      </c>
      <c r="E38" s="10" t="s">
        <v>585</v>
      </c>
      <c r="F38" s="13" t="s">
        <v>493</v>
      </c>
      <c r="G38" s="14" t="s">
        <v>586</v>
      </c>
    </row>
    <row r="39" spans="1:7" ht="25.5" x14ac:dyDescent="0.2">
      <c r="A39" s="8">
        <v>44326</v>
      </c>
      <c r="B39" s="9">
        <v>38</v>
      </c>
      <c r="C39" s="13" t="s">
        <v>583</v>
      </c>
      <c r="D39" s="9" t="s">
        <v>584</v>
      </c>
      <c r="E39" s="13"/>
      <c r="F39" s="14" t="s">
        <v>587</v>
      </c>
      <c r="G39" s="11" t="s">
        <v>588</v>
      </c>
    </row>
    <row r="40" spans="1:7" ht="38.25" x14ac:dyDescent="0.2">
      <c r="A40" s="8">
        <v>44326</v>
      </c>
      <c r="B40" s="9">
        <v>39</v>
      </c>
      <c r="C40" s="10" t="s">
        <v>583</v>
      </c>
      <c r="D40" s="9" t="s">
        <v>584</v>
      </c>
      <c r="E40" s="10" t="s">
        <v>589</v>
      </c>
      <c r="F40" s="14" t="s">
        <v>590</v>
      </c>
      <c r="G40" s="11" t="s">
        <v>591</v>
      </c>
    </row>
    <row r="41" spans="1:7" ht="38.25" x14ac:dyDescent="0.2">
      <c r="A41" s="8">
        <v>44326</v>
      </c>
      <c r="B41" s="9">
        <v>40</v>
      </c>
      <c r="C41" s="10" t="s">
        <v>583</v>
      </c>
      <c r="D41" s="9" t="s">
        <v>584</v>
      </c>
      <c r="E41" s="10" t="s">
        <v>592</v>
      </c>
      <c r="F41" s="14" t="s">
        <v>550</v>
      </c>
      <c r="G41" s="11" t="s">
        <v>593</v>
      </c>
    </row>
    <row r="42" spans="1:7" x14ac:dyDescent="0.2">
      <c r="A42" s="8">
        <v>44326</v>
      </c>
      <c r="B42" s="9">
        <v>41</v>
      </c>
      <c r="C42" s="10" t="s">
        <v>583</v>
      </c>
      <c r="D42" s="9" t="s">
        <v>584</v>
      </c>
      <c r="E42" s="10" t="s">
        <v>594</v>
      </c>
      <c r="F42" s="11" t="s">
        <v>499</v>
      </c>
      <c r="G42" s="11" t="s">
        <v>595</v>
      </c>
    </row>
    <row r="43" spans="1:7" ht="25.5" x14ac:dyDescent="0.2">
      <c r="A43" s="8">
        <v>44326</v>
      </c>
      <c r="B43" s="9">
        <v>42</v>
      </c>
      <c r="C43" s="10" t="s">
        <v>596</v>
      </c>
      <c r="D43" s="12" t="s">
        <v>597</v>
      </c>
      <c r="E43" s="10" t="s">
        <v>598</v>
      </c>
      <c r="F43" s="14" t="s">
        <v>599</v>
      </c>
      <c r="G43" s="14" t="s">
        <v>600</v>
      </c>
    </row>
    <row r="44" spans="1:7" ht="51" x14ac:dyDescent="0.2">
      <c r="A44" s="8">
        <v>44326</v>
      </c>
      <c r="B44" s="9">
        <v>43</v>
      </c>
      <c r="C44" s="10" t="s">
        <v>601</v>
      </c>
      <c r="D44" s="9" t="s">
        <v>602</v>
      </c>
      <c r="E44" s="10" t="s">
        <v>603</v>
      </c>
      <c r="F44" s="11" t="s">
        <v>496</v>
      </c>
      <c r="G44" s="11" t="s">
        <v>604</v>
      </c>
    </row>
    <row r="45" spans="1:7" x14ac:dyDescent="0.2">
      <c r="A45" s="8">
        <v>44326</v>
      </c>
      <c r="B45" s="9">
        <v>44</v>
      </c>
      <c r="C45" s="10" t="s">
        <v>605</v>
      </c>
      <c r="D45" s="9" t="s">
        <v>606</v>
      </c>
      <c r="E45" s="10" t="s">
        <v>603</v>
      </c>
      <c r="F45" s="11" t="s">
        <v>496</v>
      </c>
      <c r="G45" s="11" t="s">
        <v>607</v>
      </c>
    </row>
    <row r="46" spans="1:7" x14ac:dyDescent="0.2">
      <c r="A46" s="8">
        <v>44326</v>
      </c>
      <c r="B46" s="9">
        <v>45</v>
      </c>
      <c r="C46" s="10" t="s">
        <v>608</v>
      </c>
      <c r="D46" s="9" t="s">
        <v>606</v>
      </c>
      <c r="E46" s="10" t="s">
        <v>609</v>
      </c>
      <c r="F46" s="11" t="s">
        <v>499</v>
      </c>
      <c r="G46" s="11" t="s">
        <v>610</v>
      </c>
    </row>
    <row r="47" spans="1:7" x14ac:dyDescent="0.2">
      <c r="A47" s="8">
        <v>44326</v>
      </c>
      <c r="B47" s="9">
        <v>46</v>
      </c>
      <c r="C47" s="10" t="s">
        <v>608</v>
      </c>
      <c r="D47" s="9" t="s">
        <v>606</v>
      </c>
      <c r="E47" s="10" t="s">
        <v>611</v>
      </c>
      <c r="F47" s="11" t="s">
        <v>612</v>
      </c>
      <c r="G47" s="11" t="s">
        <v>613</v>
      </c>
    </row>
    <row r="48" spans="1:7" x14ac:dyDescent="0.2">
      <c r="A48" s="8">
        <v>44326</v>
      </c>
      <c r="B48" s="9">
        <v>47</v>
      </c>
      <c r="C48" s="10" t="s">
        <v>614</v>
      </c>
      <c r="D48" s="9"/>
      <c r="E48" s="10" t="s">
        <v>615</v>
      </c>
      <c r="F48" s="14" t="s">
        <v>550</v>
      </c>
      <c r="G48" s="11" t="s">
        <v>616</v>
      </c>
    </row>
    <row r="49" spans="1:7" x14ac:dyDescent="0.2">
      <c r="A49" s="8">
        <v>44326</v>
      </c>
      <c r="B49" s="9">
        <v>48</v>
      </c>
      <c r="C49" s="10" t="s">
        <v>614</v>
      </c>
      <c r="D49" s="9">
        <v>3.1</v>
      </c>
      <c r="E49" s="10" t="s">
        <v>617</v>
      </c>
      <c r="F49" s="11" t="s">
        <v>618</v>
      </c>
      <c r="G49" s="11" t="s">
        <v>619</v>
      </c>
    </row>
    <row r="50" spans="1:7" x14ac:dyDescent="0.2">
      <c r="A50" s="8">
        <v>44326</v>
      </c>
      <c r="B50" s="9">
        <v>49</v>
      </c>
      <c r="C50" s="10" t="s">
        <v>614</v>
      </c>
      <c r="D50" s="9">
        <v>3.1</v>
      </c>
      <c r="E50" s="10" t="s">
        <v>620</v>
      </c>
      <c r="F50" s="11" t="s">
        <v>493</v>
      </c>
      <c r="G50" s="11" t="s">
        <v>621</v>
      </c>
    </row>
    <row r="51" spans="1:7" ht="140.25" x14ac:dyDescent="0.2">
      <c r="A51" s="8">
        <v>44326</v>
      </c>
      <c r="B51" s="9">
        <v>50</v>
      </c>
      <c r="C51" s="10" t="s">
        <v>614</v>
      </c>
      <c r="D51" s="9">
        <v>3.1</v>
      </c>
      <c r="E51" s="10" t="s">
        <v>622</v>
      </c>
      <c r="F51" s="11" t="s">
        <v>623</v>
      </c>
      <c r="G51" s="11" t="s">
        <v>624</v>
      </c>
    </row>
    <row r="52" spans="1:7" ht="25.5" x14ac:dyDescent="0.2">
      <c r="A52" s="8">
        <v>44326</v>
      </c>
      <c r="B52" s="9">
        <v>51</v>
      </c>
      <c r="C52" s="10" t="s">
        <v>614</v>
      </c>
      <c r="D52" s="9">
        <v>3.1</v>
      </c>
      <c r="E52" s="10" t="s">
        <v>625</v>
      </c>
      <c r="F52" s="11" t="s">
        <v>499</v>
      </c>
      <c r="G52" s="11" t="s">
        <v>626</v>
      </c>
    </row>
    <row r="53" spans="1:7" ht="38.25" x14ac:dyDescent="0.2">
      <c r="A53" s="8">
        <v>44326</v>
      </c>
      <c r="B53" s="9">
        <v>52</v>
      </c>
      <c r="C53" s="10" t="s">
        <v>614</v>
      </c>
      <c r="D53" s="9">
        <v>3.1</v>
      </c>
      <c r="E53" s="10" t="s">
        <v>627</v>
      </c>
      <c r="F53" s="11" t="s">
        <v>499</v>
      </c>
      <c r="G53" s="11" t="s">
        <v>628</v>
      </c>
    </row>
    <row r="54" spans="1:7" ht="51" x14ac:dyDescent="0.2">
      <c r="A54" s="8">
        <v>44326</v>
      </c>
      <c r="B54" s="9">
        <v>53</v>
      </c>
      <c r="C54" s="10" t="s">
        <v>629</v>
      </c>
      <c r="D54" s="9"/>
      <c r="E54" s="10"/>
      <c r="F54" s="11" t="s">
        <v>630</v>
      </c>
      <c r="G54" s="11" t="s">
        <v>631</v>
      </c>
    </row>
    <row r="55" spans="1:7" x14ac:dyDescent="0.2">
      <c r="A55" s="8">
        <v>44326</v>
      </c>
      <c r="B55" s="9">
        <v>54</v>
      </c>
      <c r="C55" s="10" t="s">
        <v>629</v>
      </c>
      <c r="D55" s="9" t="s">
        <v>510</v>
      </c>
      <c r="E55" s="10" t="s">
        <v>632</v>
      </c>
      <c r="F55" s="11" t="s">
        <v>633</v>
      </c>
      <c r="G55" s="11" t="s">
        <v>634</v>
      </c>
    </row>
    <row r="56" spans="1:7" x14ac:dyDescent="0.2">
      <c r="A56" s="8">
        <v>44326</v>
      </c>
      <c r="B56" s="9">
        <v>55</v>
      </c>
      <c r="C56" s="10" t="s">
        <v>629</v>
      </c>
      <c r="D56" s="9"/>
      <c r="E56" s="10" t="s">
        <v>635</v>
      </c>
      <c r="F56" s="11" t="s">
        <v>493</v>
      </c>
      <c r="G56" s="11" t="s">
        <v>636</v>
      </c>
    </row>
    <row r="57" spans="1:7" ht="51" x14ac:dyDescent="0.2">
      <c r="A57" s="8">
        <v>44326</v>
      </c>
      <c r="B57" s="9">
        <v>56</v>
      </c>
      <c r="C57" s="10" t="s">
        <v>637</v>
      </c>
      <c r="D57" s="9"/>
      <c r="E57" s="10"/>
      <c r="F57" s="11" t="s">
        <v>630</v>
      </c>
      <c r="G57" s="11" t="s">
        <v>638</v>
      </c>
    </row>
    <row r="58" spans="1:7" ht="25.5" x14ac:dyDescent="0.2">
      <c r="A58" s="8">
        <v>44326</v>
      </c>
      <c r="B58" s="9">
        <v>57</v>
      </c>
      <c r="C58" s="10" t="s">
        <v>637</v>
      </c>
      <c r="D58" s="9" t="s">
        <v>639</v>
      </c>
      <c r="E58" s="11" t="s">
        <v>640</v>
      </c>
      <c r="F58" s="11" t="s">
        <v>633</v>
      </c>
      <c r="G58" s="11" t="s">
        <v>634</v>
      </c>
    </row>
    <row r="59" spans="1:7" x14ac:dyDescent="0.2">
      <c r="A59" s="8">
        <v>44326</v>
      </c>
      <c r="B59" s="9">
        <v>58</v>
      </c>
      <c r="C59" s="10" t="s">
        <v>524</v>
      </c>
      <c r="D59" s="9" t="s">
        <v>488</v>
      </c>
      <c r="E59" s="10" t="s">
        <v>641</v>
      </c>
      <c r="F59" s="11" t="s">
        <v>550</v>
      </c>
      <c r="G59" s="11" t="s">
        <v>621</v>
      </c>
    </row>
    <row r="60" spans="1:7" x14ac:dyDescent="0.2">
      <c r="A60" s="8">
        <v>44326</v>
      </c>
      <c r="B60" s="9">
        <v>59</v>
      </c>
      <c r="C60" s="10" t="s">
        <v>524</v>
      </c>
      <c r="D60" s="9" t="s">
        <v>488</v>
      </c>
      <c r="E60" s="10" t="s">
        <v>642</v>
      </c>
      <c r="F60" s="11" t="s">
        <v>550</v>
      </c>
      <c r="G60" s="11" t="s">
        <v>621</v>
      </c>
    </row>
    <row r="61" spans="1:7" x14ac:dyDescent="0.2">
      <c r="A61" s="8">
        <v>44326</v>
      </c>
      <c r="B61" s="9">
        <v>60</v>
      </c>
      <c r="C61" s="10" t="s">
        <v>524</v>
      </c>
      <c r="D61" s="9" t="s">
        <v>488</v>
      </c>
      <c r="E61" t="s">
        <v>643</v>
      </c>
      <c r="F61" s="11" t="s">
        <v>485</v>
      </c>
      <c r="G61" s="11" t="s">
        <v>644</v>
      </c>
    </row>
    <row r="62" spans="1:7" x14ac:dyDescent="0.2">
      <c r="A62" s="8">
        <v>44326</v>
      </c>
      <c r="B62" s="9">
        <v>61</v>
      </c>
      <c r="C62" s="10" t="s">
        <v>524</v>
      </c>
      <c r="D62" s="9" t="s">
        <v>546</v>
      </c>
      <c r="E62" s="10" t="s">
        <v>645</v>
      </c>
      <c r="F62" s="11" t="s">
        <v>633</v>
      </c>
      <c r="G62" s="11" t="s">
        <v>646</v>
      </c>
    </row>
    <row r="63" spans="1:7" ht="38.25" x14ac:dyDescent="0.2">
      <c r="A63" s="8">
        <v>44326</v>
      </c>
      <c r="B63" s="9">
        <v>62</v>
      </c>
      <c r="C63" s="10" t="s">
        <v>524</v>
      </c>
      <c r="D63" s="9" t="s">
        <v>546</v>
      </c>
      <c r="E63" s="10" t="s">
        <v>647</v>
      </c>
      <c r="F63" s="11" t="s">
        <v>612</v>
      </c>
      <c r="G63" s="11" t="s">
        <v>648</v>
      </c>
    </row>
    <row r="64" spans="1:7" ht="25.5" x14ac:dyDescent="0.2">
      <c r="A64" s="8">
        <v>44326</v>
      </c>
      <c r="B64" s="9">
        <v>63</v>
      </c>
      <c r="C64" s="10" t="s">
        <v>524</v>
      </c>
      <c r="D64" s="9" t="s">
        <v>488</v>
      </c>
      <c r="E64" s="10" t="s">
        <v>533</v>
      </c>
      <c r="F64" s="11" t="s">
        <v>534</v>
      </c>
      <c r="G64" s="11" t="s">
        <v>649</v>
      </c>
    </row>
    <row r="65" spans="1:7" ht="25.5" x14ac:dyDescent="0.2">
      <c r="A65" s="8">
        <v>44326</v>
      </c>
      <c r="B65" s="9">
        <v>64</v>
      </c>
      <c r="C65" s="10" t="s">
        <v>524</v>
      </c>
      <c r="D65" s="9" t="s">
        <v>525</v>
      </c>
      <c r="E65" s="10" t="s">
        <v>650</v>
      </c>
      <c r="F65" s="11" t="s">
        <v>534</v>
      </c>
      <c r="G65" s="11" t="s">
        <v>649</v>
      </c>
    </row>
    <row r="66" spans="1:7" ht="25.5" x14ac:dyDescent="0.2">
      <c r="A66" s="8">
        <v>44326</v>
      </c>
      <c r="B66" s="9">
        <v>65</v>
      </c>
      <c r="C66" s="10" t="s">
        <v>651</v>
      </c>
      <c r="D66" s="9" t="s">
        <v>652</v>
      </c>
      <c r="E66" s="10" t="s">
        <v>653</v>
      </c>
      <c r="F66" s="11" t="s">
        <v>534</v>
      </c>
      <c r="G66" s="11" t="s">
        <v>649</v>
      </c>
    </row>
    <row r="67" spans="1:7" ht="51" x14ac:dyDescent="0.2">
      <c r="A67" s="8">
        <v>44326</v>
      </c>
      <c r="B67" s="9">
        <v>66</v>
      </c>
      <c r="C67" s="10" t="s">
        <v>654</v>
      </c>
      <c r="D67" s="9" t="s">
        <v>652</v>
      </c>
      <c r="E67" s="10" t="s">
        <v>603</v>
      </c>
      <c r="F67" s="11" t="s">
        <v>496</v>
      </c>
      <c r="G67" s="11" t="s">
        <v>604</v>
      </c>
    </row>
    <row r="68" spans="1:7" x14ac:dyDescent="0.2">
      <c r="A68" s="8">
        <v>44326</v>
      </c>
      <c r="B68" s="9">
        <v>67</v>
      </c>
      <c r="C68" s="10" t="s">
        <v>655</v>
      </c>
      <c r="D68" s="9"/>
      <c r="E68" s="10"/>
      <c r="F68" s="11" t="s">
        <v>630</v>
      </c>
      <c r="G68" t="s">
        <v>656</v>
      </c>
    </row>
    <row r="69" spans="1:7" ht="25.5" x14ac:dyDescent="0.2">
      <c r="A69" s="8">
        <v>44326</v>
      </c>
      <c r="B69" s="9">
        <v>68</v>
      </c>
      <c r="C69" s="10" t="s">
        <v>655</v>
      </c>
      <c r="D69" s="9"/>
      <c r="E69" s="10"/>
      <c r="F69" s="11" t="s">
        <v>657</v>
      </c>
      <c r="G69" s="11" t="s">
        <v>658</v>
      </c>
    </row>
    <row r="70" spans="1:7" ht="25.5" x14ac:dyDescent="0.2">
      <c r="A70" s="8">
        <v>44326</v>
      </c>
      <c r="B70" s="9">
        <v>69</v>
      </c>
      <c r="C70" s="10" t="s">
        <v>655</v>
      </c>
      <c r="D70" s="9">
        <v>4.0999999999999996</v>
      </c>
      <c r="E70" s="10" t="s">
        <v>659</v>
      </c>
      <c r="F70" s="11" t="s">
        <v>499</v>
      </c>
      <c r="G70" s="11" t="s">
        <v>660</v>
      </c>
    </row>
    <row r="71" spans="1:7" ht="25.5" x14ac:dyDescent="0.2">
      <c r="A71" s="8">
        <v>44326</v>
      </c>
      <c r="B71" s="9">
        <v>70</v>
      </c>
      <c r="C71" s="10" t="s">
        <v>655</v>
      </c>
      <c r="D71" s="9">
        <v>4.0999999999999996</v>
      </c>
      <c r="E71" s="10" t="s">
        <v>661</v>
      </c>
      <c r="F71" s="11" t="s">
        <v>570</v>
      </c>
      <c r="G71" s="11" t="s">
        <v>662</v>
      </c>
    </row>
    <row r="72" spans="1:7" x14ac:dyDescent="0.2">
      <c r="A72" s="8">
        <v>44326</v>
      </c>
      <c r="B72" s="9">
        <v>71</v>
      </c>
      <c r="C72" s="10" t="s">
        <v>655</v>
      </c>
      <c r="D72" s="9">
        <v>4.0999999999999996</v>
      </c>
      <c r="E72" s="10" t="s">
        <v>663</v>
      </c>
      <c r="F72" s="11" t="s">
        <v>664</v>
      </c>
      <c r="G72" s="11" t="s">
        <v>665</v>
      </c>
    </row>
    <row r="73" spans="1:7" x14ac:dyDescent="0.2">
      <c r="A73" s="8">
        <v>44326</v>
      </c>
      <c r="B73" s="9">
        <v>72</v>
      </c>
      <c r="C73" s="10" t="s">
        <v>655</v>
      </c>
      <c r="D73" s="9">
        <v>4.0999999999999996</v>
      </c>
      <c r="E73" s="10" t="s">
        <v>666</v>
      </c>
      <c r="F73" s="11" t="s">
        <v>499</v>
      </c>
      <c r="G73" s="11" t="s">
        <v>667</v>
      </c>
    </row>
    <row r="74" spans="1:7" ht="25.5" x14ac:dyDescent="0.2">
      <c r="A74" s="8">
        <v>44326</v>
      </c>
      <c r="B74" s="9">
        <v>73</v>
      </c>
      <c r="C74" s="10" t="s">
        <v>655</v>
      </c>
      <c r="D74" s="9">
        <v>4.0999999999999996</v>
      </c>
      <c r="E74" s="10" t="s">
        <v>668</v>
      </c>
      <c r="F74" s="11" t="s">
        <v>499</v>
      </c>
      <c r="G74" s="11" t="s">
        <v>669</v>
      </c>
    </row>
    <row r="75" spans="1:7" x14ac:dyDescent="0.2">
      <c r="A75" s="8">
        <v>44326</v>
      </c>
      <c r="B75" s="9">
        <v>74</v>
      </c>
      <c r="C75" s="10" t="s">
        <v>655</v>
      </c>
      <c r="D75" s="9"/>
      <c r="E75" s="10" t="s">
        <v>670</v>
      </c>
      <c r="F75" s="11" t="s">
        <v>550</v>
      </c>
      <c r="G75" s="11" t="s">
        <v>671</v>
      </c>
    </row>
    <row r="76" spans="1:7" ht="38.25" x14ac:dyDescent="0.2">
      <c r="A76" s="8">
        <v>44326</v>
      </c>
      <c r="B76" s="9">
        <v>75</v>
      </c>
      <c r="C76" s="10" t="s">
        <v>672</v>
      </c>
      <c r="D76" s="9">
        <v>5.0999999999999996</v>
      </c>
      <c r="E76" s="10" t="s">
        <v>673</v>
      </c>
      <c r="F76" s="11" t="s">
        <v>674</v>
      </c>
      <c r="G76" s="11" t="s">
        <v>675</v>
      </c>
    </row>
    <row r="77" spans="1:7" ht="38.25" x14ac:dyDescent="0.2">
      <c r="A77" s="8">
        <v>44326</v>
      </c>
      <c r="B77" s="9">
        <v>76</v>
      </c>
      <c r="C77" s="10" t="s">
        <v>672</v>
      </c>
      <c r="D77" s="9">
        <v>5.0999999999999996</v>
      </c>
      <c r="E77" s="10" t="s">
        <v>676</v>
      </c>
      <c r="F77" s="11" t="s">
        <v>674</v>
      </c>
      <c r="G77" s="11" t="s">
        <v>677</v>
      </c>
    </row>
    <row r="78" spans="1:7" ht="25.5" x14ac:dyDescent="0.2">
      <c r="A78" s="8">
        <v>44326</v>
      </c>
      <c r="B78" s="9">
        <v>77</v>
      </c>
      <c r="C78" s="10" t="s">
        <v>672</v>
      </c>
      <c r="D78" s="9">
        <v>5.0999999999999996</v>
      </c>
      <c r="E78" s="10" t="s">
        <v>678</v>
      </c>
      <c r="F78" s="11" t="s">
        <v>618</v>
      </c>
      <c r="G78" s="11" t="s">
        <v>679</v>
      </c>
    </row>
    <row r="79" spans="1:7" ht="25.5" x14ac:dyDescent="0.2">
      <c r="A79" s="8">
        <v>44326</v>
      </c>
      <c r="B79" s="9">
        <v>78</v>
      </c>
      <c r="C79" s="10" t="s">
        <v>672</v>
      </c>
      <c r="D79" s="9">
        <v>5.0999999999999996</v>
      </c>
      <c r="E79" s="10" t="s">
        <v>680</v>
      </c>
      <c r="F79" s="11" t="s">
        <v>493</v>
      </c>
      <c r="G79" s="14" t="s">
        <v>681</v>
      </c>
    </row>
    <row r="80" spans="1:7" ht="38.25" x14ac:dyDescent="0.2">
      <c r="A80" s="8">
        <v>44326</v>
      </c>
      <c r="B80" s="9">
        <v>79</v>
      </c>
      <c r="C80" s="10" t="s">
        <v>672</v>
      </c>
      <c r="D80" s="9">
        <v>5.0999999999999996</v>
      </c>
      <c r="E80" s="14" t="s">
        <v>682</v>
      </c>
      <c r="F80" s="14" t="s">
        <v>683</v>
      </c>
      <c r="G80" s="14" t="s">
        <v>684</v>
      </c>
    </row>
    <row r="81" spans="1:7" ht="38.25" x14ac:dyDescent="0.2">
      <c r="A81" s="8">
        <v>44326</v>
      </c>
      <c r="B81" s="9">
        <v>80</v>
      </c>
      <c r="C81" s="10" t="s">
        <v>685</v>
      </c>
      <c r="D81" s="9"/>
      <c r="E81" s="10"/>
      <c r="F81" s="11" t="s">
        <v>633</v>
      </c>
      <c r="G81" s="11" t="s">
        <v>686</v>
      </c>
    </row>
    <row r="82" spans="1:7" x14ac:dyDescent="0.2">
      <c r="A82" s="10"/>
      <c r="B82" s="9"/>
      <c r="C82" s="10"/>
      <c r="D82" s="9"/>
      <c r="E82" s="10"/>
      <c r="F82" s="10"/>
      <c r="G82" s="10"/>
    </row>
    <row r="83" spans="1:7" x14ac:dyDescent="0.2">
      <c r="A83" s="10"/>
      <c r="B83" s="9"/>
      <c r="C83" s="10"/>
      <c r="D83" s="9"/>
      <c r="E83" s="10"/>
      <c r="F83" s="11"/>
      <c r="G83" s="11"/>
    </row>
    <row r="84" spans="1:7" x14ac:dyDescent="0.2">
      <c r="A84" s="10"/>
      <c r="B84" s="9"/>
      <c r="C84" s="10"/>
      <c r="D84" s="9"/>
      <c r="E84" s="10"/>
      <c r="F84" s="11"/>
      <c r="G84" s="11"/>
    </row>
    <row r="85" spans="1:7" x14ac:dyDescent="0.2">
      <c r="A85" s="10"/>
      <c r="B85" s="9"/>
      <c r="C85" s="10"/>
      <c r="D85" s="9"/>
      <c r="E85" s="10"/>
      <c r="F85" s="11"/>
      <c r="G85" s="11"/>
    </row>
    <row r="86" spans="1:7" x14ac:dyDescent="0.2">
      <c r="A86" s="10"/>
      <c r="B86" s="9"/>
      <c r="C86" s="10"/>
      <c r="D86" s="9"/>
      <c r="E86" s="10"/>
      <c r="F86" s="11"/>
      <c r="G86" s="11"/>
    </row>
    <row r="87" spans="1:7" x14ac:dyDescent="0.2">
      <c r="A87" s="10"/>
      <c r="B87" s="9"/>
      <c r="C87" s="10"/>
      <c r="D87" s="9"/>
      <c r="E87" s="10"/>
      <c r="F87" s="11"/>
      <c r="G87" s="11"/>
    </row>
    <row r="88" spans="1:7" x14ac:dyDescent="0.2">
      <c r="A88" s="10"/>
      <c r="B88" s="9"/>
      <c r="C88" s="10"/>
      <c r="D88" s="9"/>
      <c r="E88" s="10"/>
      <c r="F88" s="11"/>
      <c r="G88" s="11"/>
    </row>
    <row r="89" spans="1:7" x14ac:dyDescent="0.2">
      <c r="A89" s="10"/>
      <c r="B89" s="9"/>
      <c r="C89" s="10"/>
      <c r="D89" s="9"/>
      <c r="E89" s="10"/>
      <c r="F89" s="11"/>
      <c r="G89" s="11"/>
    </row>
    <row r="90" spans="1:7" x14ac:dyDescent="0.2">
      <c r="A90" s="10"/>
      <c r="B90" s="9"/>
      <c r="C90" s="10"/>
      <c r="D90" s="9"/>
      <c r="E90" s="10"/>
      <c r="F90" s="11"/>
      <c r="G90" s="11"/>
    </row>
    <row r="91" spans="1:7" x14ac:dyDescent="0.2">
      <c r="A91" s="10"/>
      <c r="B91" s="9"/>
      <c r="C91" s="10"/>
      <c r="D91" s="9"/>
      <c r="E91" s="10"/>
      <c r="F91" s="11"/>
      <c r="G91" s="11"/>
    </row>
    <row r="92" spans="1:7" x14ac:dyDescent="0.2">
      <c r="A92" s="10"/>
      <c r="B92" s="9"/>
      <c r="C92" s="10"/>
      <c r="D92" s="9"/>
      <c r="E92" s="10"/>
      <c r="F92" s="11"/>
      <c r="G92" s="11"/>
    </row>
    <row r="93" spans="1:7" x14ac:dyDescent="0.2">
      <c r="A93" s="10"/>
      <c r="B93" s="9"/>
      <c r="C93" s="10"/>
      <c r="D93" s="9"/>
      <c r="E93" s="10"/>
      <c r="F93" s="11"/>
      <c r="G93" s="11"/>
    </row>
    <row r="94" spans="1:7" x14ac:dyDescent="0.2">
      <c r="A94" s="10"/>
      <c r="B94" s="9"/>
      <c r="C94" s="10"/>
      <c r="D94" s="9"/>
      <c r="E94" s="10"/>
      <c r="F94" s="11"/>
      <c r="G94" s="11"/>
    </row>
    <row r="95" spans="1:7" x14ac:dyDescent="0.2">
      <c r="A95" s="10"/>
      <c r="B95" s="9"/>
      <c r="C95" s="10"/>
      <c r="D95" s="9"/>
      <c r="E95" s="10"/>
      <c r="F95" s="11"/>
      <c r="G95" s="11"/>
    </row>
    <row r="96" spans="1:7" x14ac:dyDescent="0.2">
      <c r="A96" s="10"/>
      <c r="B96" s="9"/>
      <c r="C96" s="10"/>
      <c r="D96" s="9"/>
      <c r="E96" s="10"/>
      <c r="F96" s="11"/>
      <c r="G96" s="11"/>
    </row>
    <row r="97" spans="1:7" x14ac:dyDescent="0.2">
      <c r="A97" s="10"/>
      <c r="B97" s="9"/>
      <c r="C97" s="10"/>
      <c r="D97" s="9"/>
      <c r="E97" s="10"/>
      <c r="F97" s="11"/>
      <c r="G97" s="11"/>
    </row>
    <row r="98" spans="1:7" x14ac:dyDescent="0.2">
      <c r="A98" s="10"/>
      <c r="B98" s="9"/>
      <c r="C98" s="10"/>
      <c r="D98" s="9"/>
      <c r="E98" s="10"/>
      <c r="F98" s="11"/>
      <c r="G98" s="11"/>
    </row>
    <row r="99" spans="1:7" x14ac:dyDescent="0.2">
      <c r="A99" s="10"/>
      <c r="B99" s="9"/>
      <c r="C99" s="10"/>
      <c r="D99" s="9"/>
      <c r="E99" s="10"/>
      <c r="F99" s="11"/>
      <c r="G99" s="11"/>
    </row>
    <row r="100" spans="1:7" x14ac:dyDescent="0.2">
      <c r="A100" s="10"/>
      <c r="B100" s="9"/>
      <c r="C100" s="10"/>
      <c r="D100" s="9"/>
      <c r="E100" s="10"/>
      <c r="F100" s="11"/>
      <c r="G100" s="11"/>
    </row>
    <row r="101" spans="1:7" x14ac:dyDescent="0.2">
      <c r="A101" s="10"/>
      <c r="B101" s="9"/>
      <c r="C101" s="10"/>
      <c r="D101" s="9"/>
      <c r="E101" s="10"/>
      <c r="F101" s="11"/>
      <c r="G101" s="11"/>
    </row>
    <row r="102" spans="1:7" x14ac:dyDescent="0.2">
      <c r="A102" s="10"/>
      <c r="B102" s="9"/>
      <c r="C102" s="10"/>
      <c r="D102" s="9"/>
      <c r="E102" s="10"/>
      <c r="F102" s="11"/>
      <c r="G102" s="11"/>
    </row>
    <row r="103" spans="1:7" x14ac:dyDescent="0.2">
      <c r="A103" s="10"/>
      <c r="B103" s="9"/>
      <c r="C103" s="10"/>
      <c r="D103" s="9"/>
      <c r="E103" s="10"/>
      <c r="F103" s="11"/>
      <c r="G103" s="11"/>
    </row>
    <row r="104" spans="1:7" x14ac:dyDescent="0.2">
      <c r="A104" s="10"/>
      <c r="B104" s="9"/>
      <c r="C104" s="10"/>
      <c r="D104" s="9"/>
      <c r="E104" s="10"/>
      <c r="F104" s="11"/>
      <c r="G104" s="11"/>
    </row>
    <row r="105" spans="1:7" x14ac:dyDescent="0.2">
      <c r="A105" s="10"/>
      <c r="B105" s="9"/>
      <c r="C105" s="10"/>
      <c r="D105" s="9"/>
      <c r="E105" s="10"/>
      <c r="F105" s="11"/>
      <c r="G105" s="11"/>
    </row>
    <row r="106" spans="1:7" x14ac:dyDescent="0.2">
      <c r="A106" s="10"/>
      <c r="B106" s="9"/>
      <c r="C106" s="10"/>
      <c r="D106" s="9"/>
      <c r="E106" s="10"/>
      <c r="F106" s="11"/>
      <c r="G106" s="11"/>
    </row>
    <row r="107" spans="1:7" x14ac:dyDescent="0.2">
      <c r="A107" s="10"/>
      <c r="B107" s="9"/>
      <c r="C107" s="10"/>
      <c r="D107" s="9"/>
      <c r="E107" s="10"/>
      <c r="F107" s="11"/>
      <c r="G107" s="11"/>
    </row>
    <row r="108" spans="1:7" x14ac:dyDescent="0.2">
      <c r="A108" s="10"/>
      <c r="B108" s="9"/>
      <c r="C108" s="10"/>
      <c r="D108" s="9"/>
      <c r="E108" s="10"/>
      <c r="F108" s="11"/>
      <c r="G108" s="11"/>
    </row>
    <row r="109" spans="1:7" x14ac:dyDescent="0.2">
      <c r="A109" s="10"/>
      <c r="B109" s="9"/>
      <c r="C109" s="10"/>
      <c r="D109" s="9"/>
      <c r="E109" s="10"/>
      <c r="F109" s="11"/>
      <c r="G109" s="11"/>
    </row>
    <row r="110" spans="1:7" x14ac:dyDescent="0.2">
      <c r="A110" s="10"/>
      <c r="B110" s="9"/>
      <c r="C110" s="10"/>
      <c r="D110" s="9"/>
      <c r="E110" s="10"/>
      <c r="F110" s="11"/>
      <c r="G110" s="11"/>
    </row>
    <row r="111" spans="1:7" x14ac:dyDescent="0.2">
      <c r="A111" s="10"/>
      <c r="B111" s="9"/>
      <c r="C111" s="10"/>
      <c r="D111" s="9"/>
      <c r="E111" s="10"/>
      <c r="F111" s="11"/>
      <c r="G111" s="11"/>
    </row>
    <row r="112" spans="1:7" x14ac:dyDescent="0.2">
      <c r="A112" s="10"/>
      <c r="B112" s="9"/>
      <c r="C112" s="10"/>
      <c r="D112" s="9"/>
      <c r="E112" s="10"/>
      <c r="F112" s="11"/>
      <c r="G112" s="11"/>
    </row>
    <row r="113" spans="1:7" x14ac:dyDescent="0.2">
      <c r="A113" s="10"/>
      <c r="B113" s="9"/>
      <c r="C113" s="10"/>
      <c r="D113" s="9"/>
      <c r="E113" s="10"/>
      <c r="F113" s="11"/>
      <c r="G113" s="11"/>
    </row>
    <row r="114" spans="1:7" x14ac:dyDescent="0.2">
      <c r="A114" s="10"/>
      <c r="B114" s="9"/>
      <c r="C114" s="10"/>
      <c r="D114" s="9"/>
      <c r="E114" s="10"/>
      <c r="F114" s="11"/>
      <c r="G114" s="11"/>
    </row>
    <row r="115" spans="1:7" x14ac:dyDescent="0.2">
      <c r="A115" s="10"/>
      <c r="B115" s="9"/>
      <c r="C115" s="10"/>
      <c r="D115" s="9"/>
      <c r="E115" s="10"/>
      <c r="F115" s="11"/>
      <c r="G115" s="11"/>
    </row>
    <row r="116" spans="1:7" x14ac:dyDescent="0.2">
      <c r="A116" s="10"/>
      <c r="B116" s="9"/>
      <c r="C116" s="10"/>
      <c r="D116" s="9"/>
      <c r="E116" s="10"/>
      <c r="F116" s="11"/>
      <c r="G116" s="11"/>
    </row>
    <row r="117" spans="1:7" x14ac:dyDescent="0.2">
      <c r="A117" s="10"/>
      <c r="B117" s="9"/>
      <c r="C117" s="10"/>
      <c r="D117" s="9"/>
      <c r="E117" s="10"/>
      <c r="F117" s="11"/>
      <c r="G117" s="11"/>
    </row>
    <row r="118" spans="1:7" x14ac:dyDescent="0.2">
      <c r="A118" s="10"/>
      <c r="B118" s="9"/>
      <c r="C118" s="10"/>
      <c r="D118" s="9"/>
      <c r="E118" s="10"/>
      <c r="F118" s="11"/>
      <c r="G118" s="11"/>
    </row>
    <row r="119" spans="1:7" x14ac:dyDescent="0.2">
      <c r="A119" s="10"/>
      <c r="B119" s="9"/>
      <c r="C119" s="10"/>
      <c r="D119" s="9"/>
      <c r="E119" s="10"/>
      <c r="F119" s="11"/>
      <c r="G119" s="11"/>
    </row>
    <row r="120" spans="1:7" x14ac:dyDescent="0.2">
      <c r="A120" s="10"/>
      <c r="B120" s="9"/>
      <c r="C120" s="10"/>
      <c r="D120" s="9"/>
      <c r="E120" s="10"/>
      <c r="F120" s="10"/>
      <c r="G120" s="10"/>
    </row>
    <row r="121" spans="1:7" x14ac:dyDescent="0.2">
      <c r="A121" s="10"/>
      <c r="B121" s="9"/>
      <c r="C121" s="10"/>
      <c r="D121" s="9"/>
      <c r="E121" s="10"/>
      <c r="F121" s="10"/>
      <c r="G121" s="10"/>
    </row>
    <row r="122" spans="1:7" x14ac:dyDescent="0.2">
      <c r="A122" s="10"/>
      <c r="B122" s="9"/>
      <c r="C122" s="10"/>
      <c r="D122" s="9"/>
      <c r="E122" s="10"/>
      <c r="F122" s="10"/>
      <c r="G122" s="10"/>
    </row>
    <row r="123" spans="1:7" x14ac:dyDescent="0.2">
      <c r="A123" s="10"/>
      <c r="B123" s="9"/>
      <c r="C123" s="10"/>
      <c r="D123" s="9"/>
      <c r="E123" s="10"/>
      <c r="F123" s="10"/>
      <c r="G123" s="10"/>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17415D"/>
    <pageSetUpPr fitToPage="1"/>
  </sheetPr>
  <dimension ref="A1:G48"/>
  <sheetViews>
    <sheetView showGridLines="0" zoomScaleNormal="100" workbookViewId="0">
      <pane xSplit="1" ySplit="6" topLeftCell="B7" activePane="bottomRight" state="frozen"/>
      <selection activeCell="A35" sqref="A35"/>
      <selection pane="topRight" activeCell="A35" sqref="A35"/>
      <selection pane="bottomLeft" activeCell="A35" sqref="A35"/>
      <selection pane="bottomRight" activeCell="B7" sqref="B7"/>
    </sheetView>
  </sheetViews>
  <sheetFormatPr defaultRowHeight="12.75" x14ac:dyDescent="0.2"/>
  <cols>
    <col min="1" max="1" width="11.85546875" customWidth="1"/>
    <col min="2" max="2" width="69.140625" customWidth="1"/>
    <col min="3" max="3" width="38.85546875" customWidth="1"/>
    <col min="4" max="4" width="40.140625" customWidth="1"/>
    <col min="5" max="5" width="55" customWidth="1"/>
    <col min="6" max="6" width="39.85546875" customWidth="1"/>
    <col min="7" max="7" width="38.42578125" customWidth="1"/>
    <col min="8" max="8" width="37.140625" customWidth="1"/>
  </cols>
  <sheetData>
    <row r="1" spans="1:7" ht="20.25" x14ac:dyDescent="0.2">
      <c r="A1" s="4"/>
      <c r="B1" s="136" t="s">
        <v>53</v>
      </c>
      <c r="C1" s="136"/>
    </row>
    <row r="2" spans="1:7" ht="20.25" customHeight="1" x14ac:dyDescent="0.2">
      <c r="A2" s="4"/>
      <c r="B2" s="136" t="str">
        <f>IF(Tradingname=0," ",Tradingname)</f>
        <v>SEA Gas Partnership</v>
      </c>
      <c r="C2" s="136"/>
    </row>
    <row r="3" spans="1:7" ht="20.25" x14ac:dyDescent="0.3">
      <c r="B3" s="136" t="s">
        <v>30</v>
      </c>
      <c r="C3" s="105">
        <f>IF(Yearending=0, "01/01/2000", Yearending)</f>
        <v>45838</v>
      </c>
    </row>
    <row r="4" spans="1:7" ht="20.25" x14ac:dyDescent="0.2">
      <c r="B4" s="97" t="s">
        <v>33</v>
      </c>
      <c r="C4" s="97"/>
      <c r="F4" s="15"/>
      <c r="G4" s="15"/>
    </row>
    <row r="5" spans="1:7" x14ac:dyDescent="0.2">
      <c r="C5" s="15"/>
    </row>
    <row r="6" spans="1:7" ht="15.75" x14ac:dyDescent="0.25">
      <c r="B6" s="112" t="s">
        <v>54</v>
      </c>
      <c r="C6" s="111"/>
    </row>
    <row r="9" spans="1:7" x14ac:dyDescent="0.2">
      <c r="B9" s="31" t="s">
        <v>55</v>
      </c>
      <c r="C9" s="31" t="s">
        <v>56</v>
      </c>
    </row>
    <row r="10" spans="1:7" x14ac:dyDescent="0.2">
      <c r="B10" s="123" t="s">
        <v>57</v>
      </c>
      <c r="C10" s="125">
        <f>'2.1 Profit &amp; Loss by component'!$F$18</f>
        <v>63844490.847619489</v>
      </c>
    </row>
    <row r="11" spans="1:7" x14ac:dyDescent="0.2">
      <c r="B11" s="123" t="s">
        <v>58</v>
      </c>
      <c r="C11" s="125">
        <f>'2.1 Profit &amp; Loss by component'!$F$21</f>
        <v>2483401.8753809268</v>
      </c>
    </row>
    <row r="12" spans="1:7" x14ac:dyDescent="0.2">
      <c r="B12" s="124" t="s">
        <v>59</v>
      </c>
      <c r="C12" s="125">
        <f>'2.1 Profit &amp; Loss by component'!$F$22</f>
        <v>66327892.723000415</v>
      </c>
    </row>
    <row r="13" spans="1:7" x14ac:dyDescent="0.2">
      <c r="B13" s="29" t="s">
        <v>60</v>
      </c>
      <c r="C13" s="125">
        <f>'2.1 Profit &amp; Loss by component'!$F$32</f>
        <v>-23594329.151562206</v>
      </c>
    </row>
    <row r="14" spans="1:7" x14ac:dyDescent="0.2">
      <c r="B14" s="30" t="s">
        <v>61</v>
      </c>
      <c r="C14" s="125">
        <f>'2.1 Profit &amp; Loss by component'!$F$43</f>
        <v>-8340444.4913619999</v>
      </c>
    </row>
    <row r="15" spans="1:7" x14ac:dyDescent="0.2">
      <c r="B15" s="124" t="s">
        <v>62</v>
      </c>
      <c r="C15" s="125">
        <f>'2.1 Profit &amp; Loss by component'!$F$44</f>
        <v>-31934773.642924204</v>
      </c>
    </row>
    <row r="16" spans="1:7" x14ac:dyDescent="0.2">
      <c r="B16" s="124" t="s">
        <v>63</v>
      </c>
      <c r="C16" s="125">
        <f>'2.1 Profit &amp; Loss by component'!$F$45</f>
        <v>34393119.08007621</v>
      </c>
    </row>
    <row r="17" spans="2:5" x14ac:dyDescent="0.2">
      <c r="B17" s="17"/>
      <c r="C17" s="17"/>
      <c r="D17" s="17"/>
      <c r="E17" s="17"/>
    </row>
    <row r="19" spans="2:5" x14ac:dyDescent="0.2">
      <c r="B19" s="31" t="s">
        <v>64</v>
      </c>
      <c r="C19" s="31" t="s">
        <v>65</v>
      </c>
    </row>
    <row r="20" spans="2:5" ht="15.75" x14ac:dyDescent="0.2">
      <c r="B20" s="89" t="s">
        <v>66</v>
      </c>
      <c r="C20" s="18">
        <f>'3.1 Depreciated Book Value'!$D$125</f>
        <v>282266467.24469811</v>
      </c>
    </row>
    <row r="21" spans="2:5" ht="15.75" x14ac:dyDescent="0.2">
      <c r="B21" s="89" t="s">
        <v>67</v>
      </c>
      <c r="C21" s="90">
        <f>IFERROR(C16/C20,0)</f>
        <v>0.12184628027480379</v>
      </c>
    </row>
    <row r="22" spans="2:5" x14ac:dyDescent="0.2">
      <c r="B22" s="31" t="s">
        <v>68</v>
      </c>
      <c r="C22" s="31" t="s">
        <v>65</v>
      </c>
    </row>
    <row r="23" spans="2:5" ht="15.75" x14ac:dyDescent="0.2">
      <c r="B23" s="89" t="s">
        <v>66</v>
      </c>
      <c r="C23" s="18">
        <f>'3.2 Regulatory Asset Base'!$H$95</f>
        <v>0</v>
      </c>
    </row>
    <row r="24" spans="2:5" ht="15.75" x14ac:dyDescent="0.2">
      <c r="B24" s="89" t="s">
        <v>67</v>
      </c>
      <c r="C24" s="90">
        <f>IFERROR(C16/C23,0)</f>
        <v>0</v>
      </c>
    </row>
    <row r="25" spans="2:5" x14ac:dyDescent="0.2">
      <c r="B25" s="31" t="s">
        <v>69</v>
      </c>
      <c r="C25" s="31" t="s">
        <v>65</v>
      </c>
    </row>
    <row r="26" spans="2:5" ht="15.75" x14ac:dyDescent="0.2">
      <c r="B26" s="89" t="s">
        <v>70</v>
      </c>
      <c r="C26" s="125">
        <f>'4. Recovered Capital'!$E$29</f>
        <v>0</v>
      </c>
    </row>
    <row r="27" spans="2:5" ht="15.75" x14ac:dyDescent="0.2">
      <c r="B27" s="89" t="s">
        <v>67</v>
      </c>
      <c r="C27" s="90">
        <f>IFERROR(C16/INDEX('4. Recovered Capital'!$F$12:$BH$39,27,MATCH(VALUE(RIGHT(TEXT(C3,"dd/mm/yyyy"),4)),'4. Recovered Capital'!$F$12:$BH$12,0)),0)</f>
        <v>0</v>
      </c>
    </row>
    <row r="41" ht="27" customHeight="1" x14ac:dyDescent="0.2"/>
    <row r="48" ht="31.7" customHeight="1" x14ac:dyDescent="0.2"/>
  </sheetData>
  <sheetProtection algorithmName="SHA-512" hashValue="iHzzyA7L5sL6Rh/JSGCA+bG4oSbs2J2XmbE+P8YzRguubHQznnqarl4e2Qk28xR3LCgADLkCbZLdfKX98ocLEw==" saltValue="5uIsSD32AvtHUeA5BNTV/Q==" spinCount="100000" sheet="1" objects="1" scenarios="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17415D"/>
    <pageSetUpPr fitToPage="1"/>
  </sheetPr>
  <dimension ref="B1:E60"/>
  <sheetViews>
    <sheetView zoomScale="57" zoomScaleNormal="70" workbookViewId="0">
      <pane xSplit="1" ySplit="4" topLeftCell="B5" activePane="bottomRight" state="frozen"/>
      <selection activeCell="A35" sqref="A35"/>
      <selection pane="topRight" activeCell="A35" sqref="A35"/>
      <selection pane="bottomLeft" activeCell="A35" sqref="A35"/>
      <selection pane="bottomRight" activeCell="B5" sqref="B5"/>
    </sheetView>
  </sheetViews>
  <sheetFormatPr defaultColWidth="9.140625" defaultRowHeight="12.75" x14ac:dyDescent="0.2"/>
  <cols>
    <col min="1" max="1" width="12.140625" style="205" customWidth="1"/>
    <col min="2" max="2" width="21" style="205" customWidth="1"/>
    <col min="3" max="5" width="42.140625" style="205" customWidth="1"/>
    <col min="6" max="6" width="34.85546875" style="205" customWidth="1"/>
    <col min="7" max="7" width="44" style="205" customWidth="1"/>
    <col min="8" max="8" width="9.140625" style="205"/>
    <col min="9" max="9" width="70.85546875" style="205" customWidth="1"/>
    <col min="10" max="10" width="108.85546875" style="205" bestFit="1" customWidth="1"/>
    <col min="11" max="16384" width="9.140625" style="205"/>
  </cols>
  <sheetData>
    <row r="1" spans="2:5" ht="20.25" customHeight="1" x14ac:dyDescent="0.3">
      <c r="B1" s="136" t="s">
        <v>53</v>
      </c>
      <c r="C1" s="136"/>
      <c r="D1" s="204"/>
      <c r="E1" s="204"/>
    </row>
    <row r="2" spans="2:5" ht="20.25" x14ac:dyDescent="0.3">
      <c r="B2" s="136" t="str">
        <f>IF(Tradingname=0," ",Tradingname)</f>
        <v>SEA Gas Partnership</v>
      </c>
      <c r="C2" s="136"/>
      <c r="D2" s="206"/>
    </row>
    <row r="3" spans="2:5" ht="22.7" customHeight="1" x14ac:dyDescent="0.3">
      <c r="B3" s="136" t="s">
        <v>30</v>
      </c>
      <c r="C3" s="105">
        <f>IF(Yearending=0, "01/01/2000", Yearending)</f>
        <v>45838</v>
      </c>
    </row>
    <row r="4" spans="2:5" ht="20.25" x14ac:dyDescent="0.2">
      <c r="B4" s="97" t="s">
        <v>34</v>
      </c>
      <c r="C4" s="97"/>
    </row>
    <row r="7" spans="2:5" ht="15.75" x14ac:dyDescent="0.25">
      <c r="B7" s="207" t="s">
        <v>71</v>
      </c>
    </row>
    <row r="59" spans="2:5" ht="15.75" x14ac:dyDescent="0.25">
      <c r="B59" s="207" t="s">
        <v>72</v>
      </c>
      <c r="C59" s="208"/>
      <c r="D59" s="208"/>
      <c r="E59" s="208"/>
    </row>
    <row r="60" spans="2:5" ht="15.75" x14ac:dyDescent="0.25">
      <c r="B60" s="207"/>
      <c r="C60" s="208"/>
      <c r="D60" s="208"/>
      <c r="E60" s="208"/>
    </row>
  </sheetData>
  <sheetProtection algorithmName="SHA-512" hashValue="iVdb2x6krwcHTVopg1ecqUYd5p8TYEAJ2ZBS+3ZtG9FCpPXgZjbe1rnJ1ZM2UjoQ/i2NpXszGpjnayoI5eEBxw==" saltValue="qx5FB+y0oaB5Uq9ahVDZ9A==" spinCount="100000" sheet="1" objects="1" scenarios="1"/>
  <pageMargins left="0.7" right="0.7" top="0.75" bottom="0.75" header="0.3" footer="0.3"/>
  <pageSetup paperSize="9" scale="3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17415D"/>
    <pageSetUpPr fitToPage="1"/>
  </sheetPr>
  <dimension ref="A1:G42"/>
  <sheetViews>
    <sheetView showGridLines="0" zoomScale="97" zoomScaleNormal="55" workbookViewId="0">
      <pane xSplit="1" ySplit="6" topLeftCell="B7" activePane="bottomRight" state="frozen"/>
      <selection activeCell="A35" sqref="A35"/>
      <selection pane="topRight" activeCell="A35" sqref="A35"/>
      <selection pane="bottomLeft" activeCell="A35" sqref="A35"/>
      <selection pane="bottomRight" activeCell="B7" sqref="B7"/>
    </sheetView>
  </sheetViews>
  <sheetFormatPr defaultRowHeight="12.75" x14ac:dyDescent="0.2"/>
  <cols>
    <col min="1" max="1" width="11.85546875" customWidth="1"/>
    <col min="2" max="2" width="60.140625" customWidth="1"/>
    <col min="3" max="3" width="38.85546875" customWidth="1"/>
    <col min="4" max="4" width="40.140625" customWidth="1"/>
    <col min="5" max="5" width="55" customWidth="1"/>
    <col min="6" max="6" width="39.85546875" customWidth="1"/>
    <col min="7" max="7" width="38.42578125" customWidth="1"/>
    <col min="8" max="8" width="37.140625" customWidth="1"/>
  </cols>
  <sheetData>
    <row r="1" spans="1:7" ht="20.25" x14ac:dyDescent="0.2">
      <c r="A1" s="4"/>
      <c r="B1" s="136" t="s">
        <v>53</v>
      </c>
      <c r="C1" s="136"/>
    </row>
    <row r="2" spans="1:7" ht="20.25" customHeight="1" x14ac:dyDescent="0.2">
      <c r="A2" s="4"/>
      <c r="B2" s="136" t="str">
        <f>IF(Tradingname=0," ",Tradingname)</f>
        <v>SEA Gas Partnership</v>
      </c>
      <c r="C2" s="136"/>
    </row>
    <row r="3" spans="1:7" ht="20.25" x14ac:dyDescent="0.3">
      <c r="B3" s="136" t="s">
        <v>30</v>
      </c>
      <c r="C3" s="105">
        <f>IF(Yearending=0, "01/01/2000", Yearending)</f>
        <v>45838</v>
      </c>
    </row>
    <row r="4" spans="1:7" ht="20.25" x14ac:dyDescent="0.2">
      <c r="B4" s="97" t="s">
        <v>35</v>
      </c>
      <c r="C4" s="97"/>
      <c r="F4" s="15"/>
      <c r="G4" s="15"/>
    </row>
    <row r="5" spans="1:7" x14ac:dyDescent="0.2">
      <c r="C5" s="15"/>
    </row>
    <row r="6" spans="1:7" ht="15.75" x14ac:dyDescent="0.25">
      <c r="B6" s="112" t="s">
        <v>54</v>
      </c>
      <c r="C6" s="111"/>
    </row>
    <row r="9" spans="1:7" x14ac:dyDescent="0.2">
      <c r="B9" s="31" t="s">
        <v>73</v>
      </c>
      <c r="C9" s="391" t="s">
        <v>74</v>
      </c>
      <c r="D9" s="392"/>
      <c r="E9" s="393" t="s">
        <v>75</v>
      </c>
    </row>
    <row r="10" spans="1:7" x14ac:dyDescent="0.2">
      <c r="B10" s="118"/>
      <c r="C10" s="115" t="s">
        <v>76</v>
      </c>
      <c r="D10" s="115" t="s">
        <v>77</v>
      </c>
      <c r="E10" s="394"/>
    </row>
    <row r="11" spans="1:7" x14ac:dyDescent="0.2">
      <c r="B11" s="118" t="s">
        <v>78</v>
      </c>
      <c r="C11" s="138">
        <f>IFERROR('6. Pricing template'!$G37,)</f>
        <v>0.41968894244343824</v>
      </c>
      <c r="D11" s="138">
        <f>IFERROR('6. Pricing template'!$G38,)</f>
        <v>0.66288267340099893</v>
      </c>
      <c r="E11" s="139" t="s">
        <v>79</v>
      </c>
    </row>
    <row r="12" spans="1:7" ht="12.75" customHeight="1" x14ac:dyDescent="0.2">
      <c r="B12" s="118" t="s">
        <v>80</v>
      </c>
      <c r="C12" s="138">
        <f>IFERROR('6. Pricing template'!$G39,)</f>
        <v>0</v>
      </c>
      <c r="D12" s="138">
        <f>IFERROR('6. Pricing template'!$G40,)</f>
        <v>0</v>
      </c>
      <c r="E12" s="139" t="s">
        <v>79</v>
      </c>
    </row>
    <row r="13" spans="1:7" x14ac:dyDescent="0.2">
      <c r="B13" s="118" t="s">
        <v>81</v>
      </c>
      <c r="C13" s="138">
        <f>IFERROR('6. Pricing template'!$G41,)</f>
        <v>0</v>
      </c>
      <c r="D13" s="138">
        <f>IFERROR('6. Pricing template'!$G42,)</f>
        <v>0</v>
      </c>
      <c r="E13" s="139" t="s">
        <v>79</v>
      </c>
    </row>
    <row r="14" spans="1:7" x14ac:dyDescent="0.2">
      <c r="B14" s="118" t="s">
        <v>82</v>
      </c>
      <c r="C14" s="138">
        <f>IFERROR('6. Pricing template'!$G43,)</f>
        <v>0</v>
      </c>
      <c r="D14" s="138">
        <f>IFERROR('6. Pricing template'!$G44,)</f>
        <v>0</v>
      </c>
      <c r="E14" s="139" t="s">
        <v>79</v>
      </c>
    </row>
    <row r="15" spans="1:7" x14ac:dyDescent="0.2">
      <c r="B15" s="194" t="s">
        <v>83</v>
      </c>
      <c r="C15" s="138">
        <f>IFERROR('6. Pricing template'!$G45,)</f>
        <v>0</v>
      </c>
      <c r="D15" s="138">
        <f>IFERROR('6. Pricing template'!$G46,)</f>
        <v>0</v>
      </c>
      <c r="E15" s="139" t="s">
        <v>79</v>
      </c>
    </row>
    <row r="16" spans="1:7" ht="12.75" customHeight="1" x14ac:dyDescent="0.2">
      <c r="B16" s="118" t="s">
        <v>84</v>
      </c>
      <c r="C16" s="138">
        <f>IFERROR('6. Pricing template'!$G47,)</f>
        <v>0.20996723982644816</v>
      </c>
      <c r="D16" s="138">
        <f>IFERROR('6. Pricing template'!$G48,)</f>
        <v>0.33165703185647311</v>
      </c>
      <c r="E16" s="139" t="s">
        <v>79</v>
      </c>
    </row>
    <row r="17" spans="2:5" x14ac:dyDescent="0.2">
      <c r="B17" s="118" t="s">
        <v>85</v>
      </c>
      <c r="C17" s="138">
        <f>IFERROR('6. Pricing template'!$G49,)</f>
        <v>0</v>
      </c>
      <c r="D17" s="138">
        <f>IFERROR('6. Pricing template'!$G50,)</f>
        <v>0</v>
      </c>
      <c r="E17" s="139" t="s">
        <v>79</v>
      </c>
    </row>
    <row r="18" spans="2:5" x14ac:dyDescent="0.2">
      <c r="B18" s="118" t="s">
        <v>86</v>
      </c>
      <c r="C18" s="138">
        <f>IFERROR('6. Pricing template'!$G51,)</f>
        <v>0</v>
      </c>
      <c r="D18" s="138">
        <f>IFERROR('6. Pricing template'!$G52,)</f>
        <v>0</v>
      </c>
      <c r="E18" s="139" t="s">
        <v>87</v>
      </c>
    </row>
    <row r="19" spans="2:5" x14ac:dyDescent="0.2">
      <c r="B19" s="118" t="s">
        <v>88</v>
      </c>
      <c r="C19" s="138">
        <f>IFERROR('6. Pricing template'!$G53,)</f>
        <v>0</v>
      </c>
      <c r="D19" s="138">
        <f>IFERROR('6. Pricing template'!$G54,)</f>
        <v>0</v>
      </c>
      <c r="E19" s="139" t="s">
        <v>89</v>
      </c>
    </row>
    <row r="20" spans="2:5" x14ac:dyDescent="0.2">
      <c r="B20" s="118" t="s">
        <v>90</v>
      </c>
      <c r="C20" s="138">
        <f>IFERROR('6. Pricing template'!$G55,)</f>
        <v>0</v>
      </c>
      <c r="D20" s="138">
        <f>IFERROR('6. Pricing template'!$G56,)</f>
        <v>0</v>
      </c>
      <c r="E20" s="139"/>
    </row>
    <row r="35" customFormat="1" ht="27" customHeight="1" x14ac:dyDescent="0.2"/>
    <row r="42" customFormat="1" ht="31.7" customHeight="1" x14ac:dyDescent="0.2"/>
  </sheetData>
  <sheetProtection algorithmName="SHA-512" hashValue="UzSTUL42piuBOsp4qyVY0zWJije1fu0bOzVlf12sAMbpM6oMDhRUMM+DXKZrJStG/TXxBK4wKRiOlVd7jilZiA==" saltValue="BCF603fHNYjJFHfYTfLl8A==" spinCount="100000" sheet="1" objects="1" scenarios="1"/>
  <mergeCells count="2">
    <mergeCell ref="C9:D9"/>
    <mergeCell ref="E9:E10"/>
  </mergeCells>
  <pageMargins left="0.7" right="0.7" top="0.75" bottom="0.75" header="0.3" footer="0.3"/>
  <pageSetup paperSize="9" scale="4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17415D"/>
  </sheetPr>
  <dimension ref="B1:H38"/>
  <sheetViews>
    <sheetView zoomScaleNormal="100" workbookViewId="0">
      <pane xSplit="1" ySplit="4" topLeftCell="B5" activePane="bottomRight" state="frozen"/>
      <selection activeCell="A35" sqref="A35"/>
      <selection pane="topRight" activeCell="A35" sqref="A35"/>
      <selection pane="bottomLeft" activeCell="A35" sqref="A35"/>
      <selection pane="bottomRight" activeCell="B5" sqref="B5"/>
    </sheetView>
  </sheetViews>
  <sheetFormatPr defaultColWidth="9.140625" defaultRowHeight="12.75" x14ac:dyDescent="0.2"/>
  <cols>
    <col min="1" max="1" width="12" style="4" customWidth="1"/>
    <col min="2" max="2" width="42.85546875" style="4" customWidth="1"/>
    <col min="3" max="3" width="54.5703125" style="4" customWidth="1"/>
    <col min="4" max="4" width="42.85546875" style="4" customWidth="1"/>
    <col min="5" max="5" width="10.85546875" style="4" customWidth="1"/>
    <col min="6" max="8" width="19.85546875" style="4" customWidth="1"/>
    <col min="9" max="9" width="18.140625" style="4" customWidth="1"/>
    <col min="10" max="16384" width="9.140625" style="4"/>
  </cols>
  <sheetData>
    <row r="1" spans="2:8" ht="22.7" customHeight="1" x14ac:dyDescent="0.45">
      <c r="B1" s="136" t="s">
        <v>53</v>
      </c>
      <c r="C1" s="136"/>
      <c r="D1" s="243"/>
    </row>
    <row r="2" spans="2:8" ht="20.25" x14ac:dyDescent="0.2">
      <c r="B2" s="136" t="str">
        <f>IF(Tradingname=0," ",Tradingname)</f>
        <v>SEA Gas Partnership</v>
      </c>
      <c r="C2" s="136"/>
    </row>
    <row r="3" spans="2:8" ht="20.25" x14ac:dyDescent="0.3">
      <c r="B3" s="136" t="s">
        <v>30</v>
      </c>
      <c r="C3" s="105">
        <f>IF(Yearending=0, "01/01/2000", Yearending)</f>
        <v>45838</v>
      </c>
    </row>
    <row r="4" spans="2:8" ht="20.25" x14ac:dyDescent="0.2">
      <c r="B4" s="97" t="s">
        <v>91</v>
      </c>
      <c r="C4" s="97"/>
    </row>
    <row r="5" spans="2:8" ht="20.25" x14ac:dyDescent="0.3">
      <c r="B5" s="244"/>
    </row>
    <row r="6" spans="2:8" ht="20.25" x14ac:dyDescent="0.3">
      <c r="B6" s="244"/>
    </row>
    <row r="7" spans="2:8" ht="15.75" x14ac:dyDescent="0.25">
      <c r="B7" s="214" t="s">
        <v>92</v>
      </c>
    </row>
    <row r="8" spans="2:8" x14ac:dyDescent="0.2">
      <c r="B8" s="215"/>
      <c r="C8" s="216"/>
      <c r="D8" s="216"/>
      <c r="E8" s="245"/>
      <c r="F8" s="246"/>
      <c r="G8" s="247"/>
      <c r="H8" s="247"/>
    </row>
    <row r="9" spans="2:8" ht="13.7" customHeight="1" x14ac:dyDescent="0.2">
      <c r="B9" s="32" t="s">
        <v>93</v>
      </c>
      <c r="C9" s="301" t="s">
        <v>687</v>
      </c>
    </row>
    <row r="10" spans="2:8" ht="13.7" customHeight="1" x14ac:dyDescent="0.2">
      <c r="B10" s="32" t="s">
        <v>94</v>
      </c>
      <c r="C10" s="126">
        <v>689</v>
      </c>
    </row>
    <row r="11" spans="2:8" ht="13.7" customHeight="1" x14ac:dyDescent="0.2">
      <c r="B11" s="32" t="s">
        <v>95</v>
      </c>
      <c r="C11" s="76">
        <v>12</v>
      </c>
    </row>
    <row r="12" spans="2:8" ht="13.7" customHeight="1" x14ac:dyDescent="0.2">
      <c r="B12" s="32" t="s">
        <v>96</v>
      </c>
      <c r="C12" s="76" t="s">
        <v>688</v>
      </c>
    </row>
    <row r="13" spans="2:8" ht="13.7" customHeight="1" x14ac:dyDescent="0.2">
      <c r="B13" s="32" t="s">
        <v>97</v>
      </c>
      <c r="C13" s="140" t="s">
        <v>699</v>
      </c>
      <c r="D13" s="247" t="s">
        <v>29</v>
      </c>
    </row>
    <row r="14" spans="2:8" ht="13.7" customHeight="1" x14ac:dyDescent="0.2">
      <c r="B14" s="32" t="s">
        <v>98</v>
      </c>
      <c r="C14" s="141">
        <v>37987</v>
      </c>
      <c r="D14" s="247" t="s">
        <v>29</v>
      </c>
    </row>
    <row r="15" spans="2:8" ht="13.7" customHeight="1" x14ac:dyDescent="0.2">
      <c r="B15" s="32" t="str">
        <f>IF(Cover!C23="Scheme pipeline", "Date opening RAB established","")</f>
        <v/>
      </c>
      <c r="C15" s="141"/>
    </row>
    <row r="16" spans="2:8" ht="13.7" customHeight="1" x14ac:dyDescent="0.2">
      <c r="B16" s="32" t="str">
        <f>IF(Cover!C23="Scheme pipeline", "Open RAB value on date established","")</f>
        <v/>
      </c>
      <c r="C16" s="141"/>
    </row>
    <row r="18" spans="2:4" ht="15.75" x14ac:dyDescent="0.25">
      <c r="B18" s="214" t="s">
        <v>99</v>
      </c>
    </row>
    <row r="20" spans="2:4" ht="51" customHeight="1" x14ac:dyDescent="0.2">
      <c r="B20" s="137" t="s">
        <v>100</v>
      </c>
      <c r="C20" s="113" t="s">
        <v>101</v>
      </c>
      <c r="D20" s="113" t="s">
        <v>102</v>
      </c>
    </row>
    <row r="21" spans="2:4" ht="14.25" x14ac:dyDescent="0.2">
      <c r="B21" s="34" t="s">
        <v>103</v>
      </c>
      <c r="C21" s="248"/>
      <c r="D21" s="248"/>
    </row>
    <row r="22" spans="2:4" x14ac:dyDescent="0.2">
      <c r="B22" s="35" t="s">
        <v>78</v>
      </c>
      <c r="C22" s="72" t="s">
        <v>700</v>
      </c>
      <c r="D22" s="72" t="s">
        <v>692</v>
      </c>
    </row>
    <row r="23" spans="2:4" x14ac:dyDescent="0.2">
      <c r="B23" s="35" t="s">
        <v>104</v>
      </c>
      <c r="C23" s="72" t="s">
        <v>700</v>
      </c>
      <c r="D23" s="72" t="s">
        <v>692</v>
      </c>
    </row>
    <row r="24" spans="2:4" ht="25.5" x14ac:dyDescent="0.2">
      <c r="B24" s="35" t="s">
        <v>81</v>
      </c>
      <c r="C24" s="72" t="s">
        <v>700</v>
      </c>
      <c r="D24" s="72" t="s">
        <v>692</v>
      </c>
    </row>
    <row r="25" spans="2:4" ht="14.25" x14ac:dyDescent="0.2">
      <c r="B25" s="36" t="s">
        <v>105</v>
      </c>
      <c r="C25" s="248"/>
      <c r="D25" s="248"/>
    </row>
    <row r="26" spans="2:4" x14ac:dyDescent="0.2">
      <c r="B26" s="37" t="s">
        <v>82</v>
      </c>
      <c r="C26" s="72" t="s">
        <v>692</v>
      </c>
      <c r="D26" s="72" t="s">
        <v>692</v>
      </c>
    </row>
    <row r="27" spans="2:4" ht="25.5" x14ac:dyDescent="0.2">
      <c r="B27" s="38" t="s">
        <v>83</v>
      </c>
      <c r="C27" s="72" t="s">
        <v>692</v>
      </c>
      <c r="D27" s="72" t="s">
        <v>692</v>
      </c>
    </row>
    <row r="28" spans="2:4" ht="14.25" x14ac:dyDescent="0.2">
      <c r="B28" s="36" t="s">
        <v>106</v>
      </c>
      <c r="C28" s="248"/>
      <c r="D28" s="248"/>
    </row>
    <row r="29" spans="2:4" x14ac:dyDescent="0.2">
      <c r="B29" s="35" t="s">
        <v>107</v>
      </c>
      <c r="C29" s="72" t="s">
        <v>700</v>
      </c>
      <c r="D29" s="72" t="s">
        <v>692</v>
      </c>
    </row>
    <row r="30" spans="2:4" x14ac:dyDescent="0.2">
      <c r="B30" s="35" t="s">
        <v>85</v>
      </c>
      <c r="C30" s="72" t="s">
        <v>700</v>
      </c>
      <c r="D30" s="72" t="s">
        <v>692</v>
      </c>
    </row>
    <row r="31" spans="2:4" ht="14.25" x14ac:dyDescent="0.2">
      <c r="B31" s="34" t="s">
        <v>108</v>
      </c>
      <c r="C31" s="248"/>
      <c r="D31" s="248"/>
    </row>
    <row r="32" spans="2:4" x14ac:dyDescent="0.2">
      <c r="B32" s="35" t="s">
        <v>86</v>
      </c>
      <c r="C32" s="72" t="s">
        <v>700</v>
      </c>
      <c r="D32" s="72" t="s">
        <v>692</v>
      </c>
    </row>
    <row r="33" spans="2:4" x14ac:dyDescent="0.2">
      <c r="B33" s="35" t="s">
        <v>88</v>
      </c>
      <c r="C33" s="72" t="s">
        <v>700</v>
      </c>
      <c r="D33" s="72" t="s">
        <v>692</v>
      </c>
    </row>
    <row r="34" spans="2:4" ht="14.25" x14ac:dyDescent="0.2">
      <c r="B34" s="34" t="s">
        <v>109</v>
      </c>
      <c r="C34" s="248"/>
      <c r="D34" s="248"/>
    </row>
    <row r="35" spans="2:4" x14ac:dyDescent="0.2">
      <c r="B35" s="329" t="s">
        <v>777</v>
      </c>
      <c r="C35" s="71" t="s">
        <v>700</v>
      </c>
      <c r="D35" s="71" t="s">
        <v>692</v>
      </c>
    </row>
    <row r="36" spans="2:4" x14ac:dyDescent="0.2">
      <c r="B36" s="329" t="s">
        <v>778</v>
      </c>
      <c r="C36" s="71" t="s">
        <v>700</v>
      </c>
      <c r="D36" s="71" t="s">
        <v>692</v>
      </c>
    </row>
    <row r="37" spans="2:4" x14ac:dyDescent="0.2">
      <c r="B37" s="329" t="s">
        <v>779</v>
      </c>
      <c r="C37" s="71" t="s">
        <v>700</v>
      </c>
      <c r="D37" s="71" t="s">
        <v>692</v>
      </c>
    </row>
    <row r="38" spans="2:4" x14ac:dyDescent="0.2">
      <c r="B38" s="329" t="s">
        <v>780</v>
      </c>
      <c r="C38" s="71" t="s">
        <v>700</v>
      </c>
      <c r="D38" s="71" t="s">
        <v>692</v>
      </c>
    </row>
  </sheetData>
  <sheetProtection algorithmName="SHA-512" hashValue="UDj1Nt7Tw+WjI1y7pUzRnwkA0kXUHZfU7eztoMgNhXoGTG+9OJicZcX4oGCjfeQuj7zFbAsLnbyD8EmBS2wR2w==" saltValue="uu9OrV1LApubf9PDOquXaw==" spinCount="100000" sheet="1" objects="1" scenarios="1"/>
  <dataValidations count="2">
    <dataValidation type="list" allowBlank="1" showInputMessage="1" showErrorMessage="1" sqref="C12" xr:uid="{00000000-0002-0000-0500-000000000000}">
      <formula1>"Distribution,Transmission"</formula1>
    </dataValidation>
    <dataValidation type="list" allowBlank="1" showInputMessage="1" showErrorMessage="1" sqref="C22:D24 C26:D27 C29:D30 C32:D33" xr:uid="{00000000-0002-0000-0500-000001000000}">
      <formula1>"Yes,No"</formula1>
    </dataValidation>
  </dataValidations>
  <pageMargins left="0.75" right="0.75" top="1" bottom="1" header="0.5" footer="0.5"/>
  <pageSetup paperSize="9" scale="5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17415D"/>
    <pageSetUpPr fitToPage="1"/>
  </sheetPr>
  <dimension ref="B1:G31"/>
  <sheetViews>
    <sheetView zoomScale="90" zoomScaleNormal="90" workbookViewId="0">
      <pane xSplit="1" ySplit="4" topLeftCell="B5" activePane="bottomRight" state="frozen"/>
      <selection activeCell="A35" sqref="A35"/>
      <selection pane="topRight" activeCell="A35" sqref="A35"/>
      <selection pane="bottomLeft" activeCell="A35" sqref="A35"/>
      <selection pane="bottomRight" activeCell="B5" sqref="B5"/>
    </sheetView>
  </sheetViews>
  <sheetFormatPr defaultColWidth="9.140625" defaultRowHeight="12.75" x14ac:dyDescent="0.2"/>
  <cols>
    <col min="1" max="1" width="12" style="4" customWidth="1"/>
    <col min="2" max="2" width="19.140625" style="4" customWidth="1"/>
    <col min="3" max="3" width="55.85546875" style="4" customWidth="1"/>
    <col min="4" max="4" width="30.85546875" style="4" customWidth="1"/>
    <col min="5" max="5" width="55.85546875" style="4" customWidth="1"/>
    <col min="6" max="7" width="30.85546875" style="4" customWidth="1"/>
    <col min="8" max="16384" width="9.140625" style="4"/>
  </cols>
  <sheetData>
    <row r="1" spans="2:7" ht="20.25" x14ac:dyDescent="0.3">
      <c r="B1" s="136" t="s">
        <v>53</v>
      </c>
      <c r="C1" s="136"/>
      <c r="D1" s="204"/>
      <c r="E1" s="204"/>
      <c r="F1" s="204"/>
      <c r="G1" s="204"/>
    </row>
    <row r="2" spans="2:7" ht="18" customHeight="1" x14ac:dyDescent="0.45">
      <c r="B2" s="136" t="str">
        <f>IF(Tradingname=0," ",Tradingname)</f>
        <v>SEA Gas Partnership</v>
      </c>
      <c r="C2" s="136"/>
      <c r="G2" s="243"/>
    </row>
    <row r="3" spans="2:7" ht="20.25" x14ac:dyDescent="0.3">
      <c r="B3" s="136" t="s">
        <v>30</v>
      </c>
      <c r="C3" s="105">
        <f>IF(Yearending=0, "01/01/2000", Yearending)</f>
        <v>45838</v>
      </c>
    </row>
    <row r="4" spans="2:7" ht="20.25" x14ac:dyDescent="0.2">
      <c r="B4" s="97" t="s">
        <v>110</v>
      </c>
      <c r="C4" s="97"/>
      <c r="E4" s="249"/>
    </row>
    <row r="7" spans="2:7" ht="15.75" x14ac:dyDescent="0.2">
      <c r="B7" s="250" t="s">
        <v>111</v>
      </c>
      <c r="C7" s="250"/>
      <c r="D7" s="191"/>
      <c r="E7" s="191"/>
      <c r="F7" s="191"/>
      <c r="G7" s="191"/>
    </row>
    <row r="8" spans="2:7" x14ac:dyDescent="0.2">
      <c r="B8" s="251"/>
      <c r="C8" s="252"/>
      <c r="D8" s="253"/>
      <c r="E8" s="191"/>
      <c r="F8" s="191"/>
      <c r="G8" s="191"/>
    </row>
    <row r="9" spans="2:7" ht="25.5" x14ac:dyDescent="0.2">
      <c r="B9" s="53" t="s">
        <v>112</v>
      </c>
      <c r="C9" s="254" t="s">
        <v>113</v>
      </c>
      <c r="D9" s="220" t="s">
        <v>56</v>
      </c>
      <c r="E9" s="254" t="s">
        <v>113</v>
      </c>
      <c r="F9" s="220" t="s">
        <v>56</v>
      </c>
      <c r="G9" s="53" t="s">
        <v>114</v>
      </c>
    </row>
    <row r="10" spans="2:7" x14ac:dyDescent="0.2">
      <c r="B10" s="255"/>
      <c r="C10" s="256"/>
      <c r="D10" s="117" t="s">
        <v>115</v>
      </c>
      <c r="E10" s="256"/>
      <c r="F10" s="117" t="s">
        <v>115</v>
      </c>
      <c r="G10" s="117" t="s">
        <v>115</v>
      </c>
    </row>
    <row r="11" spans="2:7" ht="20.45" customHeight="1" x14ac:dyDescent="0.2">
      <c r="B11" s="318"/>
      <c r="C11" s="258" t="s">
        <v>116</v>
      </c>
      <c r="D11" s="117"/>
      <c r="E11" s="258" t="s">
        <v>117</v>
      </c>
      <c r="F11" s="117"/>
      <c r="G11" s="117"/>
    </row>
    <row r="12" spans="2:7" ht="18.95" customHeight="1" x14ac:dyDescent="0.2">
      <c r="B12" s="318" t="s">
        <v>776</v>
      </c>
      <c r="C12" s="118" t="s">
        <v>78</v>
      </c>
      <c r="D12" s="120">
        <f>IF('2.2 Allocation to services'!G13+'2.2 Allocation to services'!G25+'2.2 Allocation to services'!G37=0,NA(),'2.2 Allocation to services'!G13+'2.2 Allocation to services'!G25+'2.2 Allocation to services'!G37)</f>
        <v>26010245.57132018</v>
      </c>
      <c r="E12" s="118" t="s">
        <v>78</v>
      </c>
      <c r="F12" s="120">
        <f>IF('2.2 Allocation to services'!G56+'2.2 Allocation to services'!G68+'2.2 Allocation to services'!G80=0,NA(),'2.2 Allocation to services'!G56+'2.2 Allocation to services'!G68+'2.2 Allocation to services'!G80)</f>
        <v>-12342790.012990206</v>
      </c>
      <c r="G12" s="120">
        <f>D12-ABS(F12)</f>
        <v>13667455.558329973</v>
      </c>
    </row>
    <row r="13" spans="2:7" x14ac:dyDescent="0.2">
      <c r="B13" s="318" t="s">
        <v>776</v>
      </c>
      <c r="C13" s="118" t="s">
        <v>80</v>
      </c>
      <c r="D13" s="120">
        <f>IF('2.2 Allocation to services'!G14+'2.2 Allocation to services'!G26+'2.2 Allocation to services'!G38=0,NA(),'2.2 Allocation to services'!G14+'2.2 Allocation to services'!G26+'2.2 Allocation to services'!G38)</f>
        <v>102151.18535619118</v>
      </c>
      <c r="E13" s="118" t="s">
        <v>80</v>
      </c>
      <c r="F13" s="120">
        <f>IF('2.2 Allocation to services'!G57+'2.2 Allocation to services'!G69+'2.2 Allocation to services'!G81=0,NA(),'2.2 Allocation to services'!G57+'2.2 Allocation to services'!G69+'2.2 Allocation to services'!G81)</f>
        <v>-47902.16046438631</v>
      </c>
      <c r="G13" s="120">
        <f t="shared" ref="G13:G22" si="0">D13-ABS(F13)</f>
        <v>54249.024891804875</v>
      </c>
    </row>
    <row r="14" spans="2:7" x14ac:dyDescent="0.2">
      <c r="B14" s="318" t="s">
        <v>776</v>
      </c>
      <c r="C14" s="118" t="s">
        <v>81</v>
      </c>
      <c r="D14" s="120">
        <f>IF('2.2 Allocation to services'!G15+'2.2 Allocation to services'!G27+'2.2 Allocation to services'!G39=0,NA(),'2.2 Allocation to services'!G15+'2.2 Allocation to services'!G27+'2.2 Allocation to services'!G39)</f>
        <v>2796388.6991257337</v>
      </c>
      <c r="E14" s="118" t="s">
        <v>81</v>
      </c>
      <c r="F14" s="120">
        <f>IF('2.2 Allocation to services'!G58+'2.2 Allocation to services'!G70+'2.2 Allocation to services'!G82=0,NA(),'2.2 Allocation to services'!G58+'2.2 Allocation to services'!G70+'2.2 Allocation to services'!G82)</f>
        <v>-1328486.5835456471</v>
      </c>
      <c r="G14" s="120">
        <f t="shared" si="0"/>
        <v>1467902.1155800866</v>
      </c>
    </row>
    <row r="15" spans="2:7" x14ac:dyDescent="0.2">
      <c r="B15" s="318" t="s">
        <v>776</v>
      </c>
      <c r="C15" s="118" t="s">
        <v>82</v>
      </c>
      <c r="D15" s="120">
        <f>IF('2.2 Allocation to services'!G16+'2.2 Allocation to services'!G28+'2.2 Allocation to services'!G40=0,'2.2 Allocation to services'!G16+'2.2 Allocation to services'!G28+'2.2 Allocation to services'!G40)</f>
        <v>0</v>
      </c>
      <c r="E15" s="118" t="s">
        <v>82</v>
      </c>
      <c r="F15" s="120">
        <f>IF('2.2 Allocation to services'!G59+'2.2 Allocation to services'!G71+'2.2 Allocation to services'!G83=0,'2.2 Allocation to services'!G59+'2.2 Allocation to services'!G71+'2.2 Allocation to services'!G83)</f>
        <v>0</v>
      </c>
      <c r="G15" s="120">
        <f t="shared" si="0"/>
        <v>0</v>
      </c>
    </row>
    <row r="16" spans="2:7" x14ac:dyDescent="0.2">
      <c r="B16" s="318" t="s">
        <v>776</v>
      </c>
      <c r="C16" s="194" t="s">
        <v>83</v>
      </c>
      <c r="D16" s="120">
        <f>IF('2.2 Allocation to services'!G17+'2.2 Allocation to services'!G29+'2.2 Allocation to services'!G41=0,'2.2 Allocation to services'!G17+'2.2 Allocation to services'!G29+'2.2 Allocation to services'!G41)</f>
        <v>0</v>
      </c>
      <c r="E16" s="194" t="s">
        <v>83</v>
      </c>
      <c r="F16" s="120">
        <f>IF('2.2 Allocation to services'!G60+'2.2 Allocation to services'!G72+'2.2 Allocation to services'!G84=0,'2.2 Allocation to services'!G60+'2.2 Allocation to services'!G72+'2.2 Allocation to services'!G84)</f>
        <v>0</v>
      </c>
      <c r="G16" s="120">
        <f t="shared" si="0"/>
        <v>0</v>
      </c>
    </row>
    <row r="17" spans="2:7" x14ac:dyDescent="0.2">
      <c r="B17" s="318" t="s">
        <v>776</v>
      </c>
      <c r="C17" s="118" t="s">
        <v>84</v>
      </c>
      <c r="D17" s="120">
        <f>IF('2.2 Allocation to services'!G18+'2.2 Allocation to services'!G30+'2.2 Allocation to services'!G42=0,NA(),'2.2 Allocation to services'!G18+'2.2 Allocation to services'!G30+'2.2 Allocation to services'!G42)</f>
        <v>29674919.345973536</v>
      </c>
      <c r="E17" s="118" t="s">
        <v>84</v>
      </c>
      <c r="F17" s="120">
        <f>IF('2.2 Allocation to services'!G61+'2.2 Allocation to services'!G73+'2.2 Allocation to services'!G85=0,NA(),'2.2 Allocation to services'!G61+'2.2 Allocation to services'!G73+'2.2 Allocation to services'!G85)</f>
        <v>-14086428.653893869</v>
      </c>
      <c r="G17" s="120">
        <f t="shared" si="0"/>
        <v>15588490.692079667</v>
      </c>
    </row>
    <row r="18" spans="2:7" x14ac:dyDescent="0.2">
      <c r="B18" s="318" t="s">
        <v>776</v>
      </c>
      <c r="C18" s="118" t="s">
        <v>85</v>
      </c>
      <c r="D18" s="120">
        <f>IF('2.2 Allocation to services'!G19+'2.2 Allocation to services'!G31+'2.2 Allocation to services'!G43=0,'2.2 Allocation to services'!G19+'2.2 Allocation to services'!G31+'2.2 Allocation to services'!G43)</f>
        <v>0</v>
      </c>
      <c r="E18" s="118" t="s">
        <v>85</v>
      </c>
      <c r="F18" s="120">
        <f>IF('2.2 Allocation to services'!G62+'2.2 Allocation to services'!G74+'2.2 Allocation to services'!G86=0,'2.2 Allocation to services'!G62+'2.2 Allocation to services'!G74+'2.2 Allocation to services'!G86)</f>
        <v>0</v>
      </c>
      <c r="G18" s="120">
        <f t="shared" si="0"/>
        <v>0</v>
      </c>
    </row>
    <row r="19" spans="2:7" x14ac:dyDescent="0.2">
      <c r="B19" s="318" t="s">
        <v>776</v>
      </c>
      <c r="C19" s="118" t="s">
        <v>86</v>
      </c>
      <c r="D19" s="120">
        <f>IF('2.2 Allocation to services'!G20+'2.2 Allocation to services'!G32+'2.2 Allocation to services'!G44=0,'2.2 Allocation to services'!G20+'2.2 Allocation to services'!G32+'2.2 Allocation to services'!G44)</f>
        <v>0</v>
      </c>
      <c r="E19" s="118" t="s">
        <v>86</v>
      </c>
      <c r="F19" s="120">
        <f>IF('2.2 Allocation to services'!G63+'2.2 Allocation to services'!G75+'2.2 Allocation to services'!G87=0,'2.2 Allocation to services'!G63+'2.2 Allocation to services'!G75+'2.2 Allocation to services'!G87)</f>
        <v>0</v>
      </c>
      <c r="G19" s="120">
        <f t="shared" si="0"/>
        <v>0</v>
      </c>
    </row>
    <row r="20" spans="2:7" x14ac:dyDescent="0.2">
      <c r="B20" s="318" t="s">
        <v>776</v>
      </c>
      <c r="C20" s="118" t="s">
        <v>88</v>
      </c>
      <c r="D20" s="120">
        <f>IF('2.2 Allocation to services'!G21+'2.2 Allocation to services'!G33+'2.2 Allocation to services'!G45=0,'2.2 Allocation to services'!G21+'2.2 Allocation to services'!G33+'2.2 Allocation to services'!G45)</f>
        <v>0</v>
      </c>
      <c r="E20" s="118" t="s">
        <v>88</v>
      </c>
      <c r="F20" s="120">
        <f>IF('2.2 Allocation to services'!G64+'2.2 Allocation to services'!G76+'2.2 Allocation to services'!G88=0,'2.2 Allocation to services'!G64+'2.2 Allocation to services'!G76+'2.2 Allocation to services'!G88)</f>
        <v>0</v>
      </c>
      <c r="G20" s="120">
        <f t="shared" si="0"/>
        <v>0</v>
      </c>
    </row>
    <row r="21" spans="2:7" x14ac:dyDescent="0.2">
      <c r="B21" s="318" t="s">
        <v>776</v>
      </c>
      <c r="C21" s="118" t="s">
        <v>90</v>
      </c>
      <c r="D21" s="120">
        <f>IF('2.2 Allocation to services'!G22+'2.2 Allocation to services'!G34+'2.2 Allocation to services'!G46=0,NA(),'2.2 Allocation to services'!G22+'2.2 Allocation to services'!G34+'2.2 Allocation to services'!G46)</f>
        <v>7744187.9212247729</v>
      </c>
      <c r="E21" s="118" t="s">
        <v>90</v>
      </c>
      <c r="F21" s="120">
        <f>IF('2.2 Allocation to services'!G65+'2.2 Allocation to services'!G77+'2.2 Allocation to services'!G89=0,NA(),'2.2 Allocation to services'!G65+'2.2 Allocation to services'!G77+'2.2 Allocation to services'!G89)</f>
        <v>-4129166.2320301002</v>
      </c>
      <c r="G21" s="120">
        <f t="shared" si="0"/>
        <v>3615021.6891946727</v>
      </c>
    </row>
    <row r="22" spans="2:7" x14ac:dyDescent="0.2">
      <c r="B22" s="257"/>
      <c r="C22" s="259" t="s">
        <v>118</v>
      </c>
      <c r="D22" s="120">
        <f>SUM(D12:D21)</f>
        <v>66327892.723000415</v>
      </c>
      <c r="E22" s="259" t="s">
        <v>119</v>
      </c>
      <c r="F22" s="120">
        <f>SUM(F12:F21)</f>
        <v>-31934773.642924212</v>
      </c>
      <c r="G22" s="120">
        <f t="shared" si="0"/>
        <v>34393119.080076203</v>
      </c>
    </row>
    <row r="27" spans="2:7" x14ac:dyDescent="0.2">
      <c r="D27" s="306"/>
    </row>
    <row r="28" spans="2:7" x14ac:dyDescent="0.2">
      <c r="D28" s="306"/>
    </row>
    <row r="29" spans="2:7" x14ac:dyDescent="0.2">
      <c r="D29" s="306"/>
    </row>
    <row r="30" spans="2:7" x14ac:dyDescent="0.2">
      <c r="D30" s="306"/>
    </row>
    <row r="31" spans="2:7" x14ac:dyDescent="0.2">
      <c r="D31" s="306"/>
    </row>
  </sheetData>
  <sheetProtection algorithmName="SHA-512" hashValue="b/onPWh8Twsj81Xey3wpfR4LdVulZJ0DXqpTwJzYjVIF95hKDBpII2wdksM+p6M6/Q7Tjn3/7qLefSfS3DI2DQ==" saltValue="Og28KnHf+bcQTdshjSL5GQ==" spinCount="100000" sheet="1" objects="1" scenarios="1"/>
  <phoneticPr fontId="29" type="noConversion"/>
  <conditionalFormatting sqref="D12:D22 F12:G22">
    <cfRule type="containsErrors" dxfId="83" priority="1" stopIfTrue="1">
      <formula>ISERROR(D12)</formula>
    </cfRule>
  </conditionalFormatting>
  <pageMargins left="0.75" right="0.75" top="1" bottom="1" header="0.5" footer="0.5"/>
  <pageSetup paperSize="9" scale="56"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tabColor rgb="FF17415D"/>
    <pageSetUpPr fitToPage="1"/>
  </sheetPr>
  <dimension ref="B1:I115"/>
  <sheetViews>
    <sheetView zoomScaleNormal="100" workbookViewId="0">
      <pane xSplit="1" ySplit="4" topLeftCell="B5" activePane="bottomRight" state="frozen"/>
      <selection activeCell="B13" sqref="B13"/>
      <selection pane="topRight" activeCell="B13" sqref="B13"/>
      <selection pane="bottomLeft" activeCell="B13" sqref="B13"/>
      <selection pane="bottomRight" activeCell="B5" sqref="B5"/>
    </sheetView>
  </sheetViews>
  <sheetFormatPr defaultColWidth="9.140625" defaultRowHeight="12.75" x14ac:dyDescent="0.2"/>
  <cols>
    <col min="1" max="1" width="12" style="4" customWidth="1"/>
    <col min="2" max="2" width="18.42578125" style="4" customWidth="1"/>
    <col min="3" max="3" width="43" style="4" bestFit="1" customWidth="1"/>
    <col min="4" max="9" width="20.85546875" style="4" customWidth="1"/>
    <col min="10" max="16384" width="9.140625" style="4"/>
  </cols>
  <sheetData>
    <row r="1" spans="2:9" ht="20.25" x14ac:dyDescent="0.2">
      <c r="B1" s="136" t="s">
        <v>53</v>
      </c>
      <c r="C1" s="136"/>
    </row>
    <row r="2" spans="2:9" ht="20.25" customHeight="1" x14ac:dyDescent="0.2">
      <c r="B2" s="136" t="str">
        <f>IF(Tradingname=0," ",Tradingname)</f>
        <v>SEA Gas Partnership</v>
      </c>
      <c r="C2" s="136"/>
    </row>
    <row r="3" spans="2:9" ht="20.25" x14ac:dyDescent="0.3">
      <c r="B3" s="136" t="s">
        <v>30</v>
      </c>
      <c r="C3" s="105">
        <f>IF(Yearending=0, "01/01/2000", Yearending)</f>
        <v>45838</v>
      </c>
    </row>
    <row r="4" spans="2:9" ht="20.25" x14ac:dyDescent="0.2">
      <c r="B4" s="97" t="s">
        <v>120</v>
      </c>
      <c r="C4" s="97"/>
    </row>
    <row r="7" spans="2:9" ht="21" customHeight="1" x14ac:dyDescent="0.2">
      <c r="B7" s="250" t="s">
        <v>121</v>
      </c>
    </row>
    <row r="8" spans="2:9" x14ac:dyDescent="0.2">
      <c r="B8" s="215"/>
      <c r="C8" s="260"/>
    </row>
    <row r="9" spans="2:9" ht="21" customHeight="1" x14ac:dyDescent="0.2">
      <c r="B9" s="395" t="s">
        <v>122</v>
      </c>
      <c r="C9" s="396"/>
      <c r="D9" s="396"/>
      <c r="E9" s="396"/>
      <c r="F9" s="396"/>
      <c r="G9" s="397" t="s">
        <v>123</v>
      </c>
      <c r="H9" s="398"/>
      <c r="I9" s="398"/>
    </row>
    <row r="10" spans="2:9" ht="51" customHeight="1" x14ac:dyDescent="0.2">
      <c r="B10" s="39" t="s">
        <v>112</v>
      </c>
      <c r="C10" s="33" t="s">
        <v>113</v>
      </c>
      <c r="D10" s="220" t="s">
        <v>124</v>
      </c>
      <c r="E10" s="220" t="s">
        <v>125</v>
      </c>
      <c r="F10" s="40" t="s">
        <v>56</v>
      </c>
      <c r="G10" s="220" t="s">
        <v>124</v>
      </c>
      <c r="H10" s="220" t="s">
        <v>125</v>
      </c>
      <c r="I10" s="40" t="s">
        <v>56</v>
      </c>
    </row>
    <row r="11" spans="2:9" x14ac:dyDescent="0.2">
      <c r="B11" s="39"/>
      <c r="C11" s="33"/>
      <c r="D11" s="41" t="s">
        <v>115</v>
      </c>
      <c r="E11" s="41" t="s">
        <v>115</v>
      </c>
      <c r="F11" s="41" t="s">
        <v>115</v>
      </c>
      <c r="G11" s="41" t="s">
        <v>115</v>
      </c>
      <c r="H11" s="41" t="s">
        <v>115</v>
      </c>
      <c r="I11" s="41" t="s">
        <v>115</v>
      </c>
    </row>
    <row r="12" spans="2:9" x14ac:dyDescent="0.2">
      <c r="B12" s="286"/>
      <c r="C12" s="113" t="s">
        <v>126</v>
      </c>
      <c r="D12" s="41"/>
      <c r="E12" s="41"/>
      <c r="F12" s="41"/>
      <c r="G12" s="41"/>
      <c r="H12" s="41"/>
      <c r="I12" s="41"/>
    </row>
    <row r="13" spans="2:9" ht="17.25" customHeight="1" x14ac:dyDescent="0.2">
      <c r="B13" s="319" t="s">
        <v>749</v>
      </c>
      <c r="C13" s="43" t="s">
        <v>127</v>
      </c>
      <c r="D13" s="73">
        <v>63241021.250000022</v>
      </c>
      <c r="E13" s="73"/>
      <c r="F13" s="96">
        <f>SUM(D13:E13)</f>
        <v>63241021.250000022</v>
      </c>
      <c r="G13" s="73">
        <v>62797832.873349421</v>
      </c>
      <c r="H13" s="73"/>
      <c r="I13" s="96">
        <f>SUM(G13:H13)</f>
        <v>62797832.873349421</v>
      </c>
    </row>
    <row r="14" spans="2:9" ht="17.25" customHeight="1" x14ac:dyDescent="0.2">
      <c r="B14" s="319" t="s">
        <v>750</v>
      </c>
      <c r="C14" s="43" t="s">
        <v>128</v>
      </c>
      <c r="D14" s="96">
        <f>'2.3 Revenue contributions '!C17</f>
        <v>0</v>
      </c>
      <c r="E14" s="96">
        <f>'2.3 Revenue contributions '!D17</f>
        <v>0</v>
      </c>
      <c r="F14" s="96">
        <f>SUM(D14:E14)</f>
        <v>0</v>
      </c>
      <c r="G14" s="73"/>
      <c r="H14" s="73"/>
      <c r="I14" s="96">
        <f>SUM(G14:H14)</f>
        <v>0</v>
      </c>
    </row>
    <row r="15" spans="2:9" ht="17.25" customHeight="1" x14ac:dyDescent="0.2">
      <c r="B15" s="319" t="s">
        <v>750</v>
      </c>
      <c r="C15" s="43" t="s">
        <v>129</v>
      </c>
      <c r="D15" s="96">
        <f>'2.3 Revenue contributions '!D29</f>
        <v>0</v>
      </c>
      <c r="E15" s="96"/>
      <c r="F15" s="96">
        <f>SUM(D15:E15)</f>
        <v>0</v>
      </c>
      <c r="G15" s="73"/>
      <c r="H15" s="96"/>
      <c r="I15" s="96">
        <f>SUM(G15:H15)</f>
        <v>0</v>
      </c>
    </row>
    <row r="16" spans="2:9" ht="17.25" customHeight="1" x14ac:dyDescent="0.2">
      <c r="B16" s="319" t="s">
        <v>750</v>
      </c>
      <c r="C16" s="43" t="s">
        <v>130</v>
      </c>
      <c r="D16" s="73">
        <v>25983.349295048931</v>
      </c>
      <c r="E16" s="73"/>
      <c r="F16" s="96">
        <f>SUM(D16:E16)</f>
        <v>25983.349295048931</v>
      </c>
      <c r="G16" s="73"/>
      <c r="H16" s="73"/>
      <c r="I16" s="96">
        <f>SUM(G16:H16)</f>
        <v>0</v>
      </c>
    </row>
    <row r="17" spans="2:9" ht="17.25" customHeight="1" x14ac:dyDescent="0.2">
      <c r="B17" s="319" t="s">
        <v>750</v>
      </c>
      <c r="C17" s="43" t="s">
        <v>131</v>
      </c>
      <c r="D17" s="73">
        <v>577486.24832441541</v>
      </c>
      <c r="E17" s="73"/>
      <c r="F17" s="96">
        <f>SUM(D17:E17)</f>
        <v>577486.24832441541</v>
      </c>
      <c r="G17" s="73"/>
      <c r="H17" s="73"/>
      <c r="I17" s="96">
        <f>SUM(G17:H17)</f>
        <v>0</v>
      </c>
    </row>
    <row r="18" spans="2:9" ht="17.25" customHeight="1" x14ac:dyDescent="0.2">
      <c r="B18" s="320"/>
      <c r="C18" s="321" t="s">
        <v>132</v>
      </c>
      <c r="D18" s="96">
        <f t="shared" ref="D18:I18" si="0">SUM(D13:D17)</f>
        <v>63844490.847619489</v>
      </c>
      <c r="E18" s="96">
        <f t="shared" si="0"/>
        <v>0</v>
      </c>
      <c r="F18" s="96">
        <f t="shared" si="0"/>
        <v>63844490.847619489</v>
      </c>
      <c r="G18" s="96">
        <f t="shared" si="0"/>
        <v>62797832.873349421</v>
      </c>
      <c r="H18" s="96">
        <f t="shared" si="0"/>
        <v>0</v>
      </c>
      <c r="I18" s="96">
        <f t="shared" si="0"/>
        <v>62797832.873349421</v>
      </c>
    </row>
    <row r="19" spans="2:9" ht="17.25" customHeight="1" x14ac:dyDescent="0.2">
      <c r="B19" s="320"/>
      <c r="C19" s="42" t="s">
        <v>133</v>
      </c>
      <c r="D19" s="41"/>
      <c r="E19" s="41"/>
      <c r="F19" s="41"/>
      <c r="G19" s="41"/>
      <c r="H19" s="41"/>
      <c r="I19" s="41"/>
    </row>
    <row r="20" spans="2:9" ht="17.25" customHeight="1" x14ac:dyDescent="0.2">
      <c r="B20" s="319" t="s">
        <v>752</v>
      </c>
      <c r="C20" s="43" t="s">
        <v>134</v>
      </c>
      <c r="D20" s="334">
        <f>'2.4 Indirect revenue'!G42</f>
        <v>1161765</v>
      </c>
      <c r="E20" s="96">
        <f>'2.4 Indirect revenue'!H42</f>
        <v>1321636.8753809268</v>
      </c>
      <c r="F20" s="96">
        <f>SUM(D20:E20)</f>
        <v>2483401.8753809268</v>
      </c>
      <c r="G20" s="73">
        <v>773593</v>
      </c>
      <c r="H20" s="73">
        <v>1023306.445192153</v>
      </c>
      <c r="I20" s="96">
        <f>SUM(G20:H20)</f>
        <v>1796899.4451921531</v>
      </c>
    </row>
    <row r="21" spans="2:9" ht="17.25" customHeight="1" x14ac:dyDescent="0.2">
      <c r="B21" s="320"/>
      <c r="C21" s="321" t="s">
        <v>135</v>
      </c>
      <c r="D21" s="96">
        <f t="shared" ref="D21:I21" si="1">SUM(D20)</f>
        <v>1161765</v>
      </c>
      <c r="E21" s="96">
        <f t="shared" si="1"/>
        <v>1321636.8753809268</v>
      </c>
      <c r="F21" s="96">
        <f t="shared" si="1"/>
        <v>2483401.8753809268</v>
      </c>
      <c r="G21" s="96">
        <f t="shared" si="1"/>
        <v>773593</v>
      </c>
      <c r="H21" s="96">
        <f t="shared" si="1"/>
        <v>1023306.445192153</v>
      </c>
      <c r="I21" s="96">
        <f t="shared" si="1"/>
        <v>1796899.4451921531</v>
      </c>
    </row>
    <row r="22" spans="2:9" ht="17.25" customHeight="1" x14ac:dyDescent="0.2">
      <c r="B22" s="320"/>
      <c r="C22" s="321" t="s">
        <v>136</v>
      </c>
      <c r="D22" s="96">
        <f>D18+D21</f>
        <v>65006255.847619489</v>
      </c>
      <c r="E22" s="96">
        <f>E21+E18</f>
        <v>1321636.8753809268</v>
      </c>
      <c r="F22" s="96">
        <f>F18+F21</f>
        <v>66327892.723000415</v>
      </c>
      <c r="G22" s="96">
        <f>G18+G21</f>
        <v>63571425.873349421</v>
      </c>
      <c r="H22" s="96">
        <f>H18+H21</f>
        <v>1023306.445192153</v>
      </c>
      <c r="I22" s="96">
        <f>I18+I21</f>
        <v>64594732.318541571</v>
      </c>
    </row>
    <row r="23" spans="2:9" ht="17.25" customHeight="1" x14ac:dyDescent="0.2">
      <c r="B23" s="320"/>
      <c r="C23" s="42" t="s">
        <v>137</v>
      </c>
      <c r="D23" s="41"/>
      <c r="E23" s="41"/>
      <c r="F23" s="41"/>
      <c r="G23" s="41"/>
      <c r="H23" s="41"/>
      <c r="I23" s="41"/>
    </row>
    <row r="24" spans="2:9" ht="17.25" customHeight="1" x14ac:dyDescent="0.2">
      <c r="B24" s="319" t="s">
        <v>751</v>
      </c>
      <c r="C24" s="29" t="s">
        <v>138</v>
      </c>
      <c r="D24" s="335">
        <v>-4054516.273836433</v>
      </c>
      <c r="E24" s="73">
        <v>-1729083.6094117321</v>
      </c>
      <c r="F24" s="96">
        <f t="shared" ref="F24:F31" si="2">SUM(D24:E24)</f>
        <v>-5783599.8832481652</v>
      </c>
      <c r="G24" s="73">
        <v>-4360078.1146275532</v>
      </c>
      <c r="H24" s="73">
        <v>-1723940.0895563187</v>
      </c>
      <c r="I24" s="96">
        <f t="shared" ref="I24:I31" si="3">SUM(G24:H24)</f>
        <v>-6084018.2041838719</v>
      </c>
    </row>
    <row r="25" spans="2:9" ht="17.25" customHeight="1" x14ac:dyDescent="0.2">
      <c r="B25" s="319" t="s">
        <v>751</v>
      </c>
      <c r="C25" s="29" t="s">
        <v>139</v>
      </c>
      <c r="D25" s="73">
        <v>-5511925.8360066153</v>
      </c>
      <c r="E25" s="73"/>
      <c r="F25" s="96">
        <f t="shared" si="2"/>
        <v>-5511925.8360066153</v>
      </c>
      <c r="G25" s="73">
        <v>-5378258.3229561131</v>
      </c>
      <c r="H25" s="73"/>
      <c r="I25" s="96">
        <f t="shared" si="3"/>
        <v>-5378258.3229561131</v>
      </c>
    </row>
    <row r="26" spans="2:9" ht="17.25" customHeight="1" x14ac:dyDescent="0.2">
      <c r="B26" s="319" t="s">
        <v>751</v>
      </c>
      <c r="C26" s="29" t="s">
        <v>140</v>
      </c>
      <c r="D26" s="73">
        <v>-9871887.5</v>
      </c>
      <c r="E26" s="73"/>
      <c r="F26" s="96">
        <f t="shared" si="2"/>
        <v>-9871887.5</v>
      </c>
      <c r="G26" s="73">
        <v>-9835444.5</v>
      </c>
      <c r="H26" s="73"/>
      <c r="I26" s="96">
        <f t="shared" si="3"/>
        <v>-9835444.5</v>
      </c>
    </row>
    <row r="27" spans="2:9" ht="17.25" customHeight="1" x14ac:dyDescent="0.2">
      <c r="B27" s="319" t="s">
        <v>751</v>
      </c>
      <c r="C27" s="29" t="s">
        <v>141</v>
      </c>
      <c r="D27" s="73">
        <v>-66241.017195765162</v>
      </c>
      <c r="E27" s="73">
        <v>-761771.69775129971</v>
      </c>
      <c r="F27" s="96">
        <f t="shared" si="2"/>
        <v>-828012.71494706487</v>
      </c>
      <c r="G27" s="73">
        <v>-63306.411177305039</v>
      </c>
      <c r="H27" s="73">
        <v>-728023.72853900772</v>
      </c>
      <c r="I27" s="96">
        <f t="shared" si="3"/>
        <v>-791330.13971631275</v>
      </c>
    </row>
    <row r="28" spans="2:9" ht="17.25" customHeight="1" x14ac:dyDescent="0.2">
      <c r="B28" s="319" t="s">
        <v>751</v>
      </c>
      <c r="C28" s="29" t="s">
        <v>142</v>
      </c>
      <c r="D28" s="73">
        <v>-241468.34993054788</v>
      </c>
      <c r="E28" s="73"/>
      <c r="F28" s="96">
        <f t="shared" si="2"/>
        <v>-241468.34993054788</v>
      </c>
      <c r="G28" s="73">
        <v>-245784.0470409829</v>
      </c>
      <c r="H28" s="73"/>
      <c r="I28" s="96">
        <f t="shared" si="3"/>
        <v>-245784.0470409829</v>
      </c>
    </row>
    <row r="29" spans="2:9" ht="17.25" customHeight="1" x14ac:dyDescent="0.2">
      <c r="B29" s="319" t="s">
        <v>751</v>
      </c>
      <c r="C29" s="29" t="s">
        <v>143</v>
      </c>
      <c r="D29" s="73">
        <v>0</v>
      </c>
      <c r="E29" s="73"/>
      <c r="F29" s="96">
        <f t="shared" si="2"/>
        <v>0</v>
      </c>
      <c r="G29" s="73">
        <v>0</v>
      </c>
      <c r="H29" s="73"/>
      <c r="I29" s="96">
        <f t="shared" si="3"/>
        <v>0</v>
      </c>
    </row>
    <row r="30" spans="2:9" ht="17.25" customHeight="1" x14ac:dyDescent="0.2">
      <c r="B30" s="319" t="s">
        <v>751</v>
      </c>
      <c r="C30" s="29" t="s">
        <v>144</v>
      </c>
      <c r="D30" s="73">
        <v>0</v>
      </c>
      <c r="E30" s="73"/>
      <c r="F30" s="96">
        <f t="shared" si="2"/>
        <v>0</v>
      </c>
      <c r="G30" s="73">
        <v>0</v>
      </c>
      <c r="H30" s="73"/>
      <c r="I30" s="96">
        <f t="shared" si="3"/>
        <v>0</v>
      </c>
    </row>
    <row r="31" spans="2:9" ht="17.25" customHeight="1" x14ac:dyDescent="0.2">
      <c r="B31" s="319" t="s">
        <v>751</v>
      </c>
      <c r="C31" s="43" t="s">
        <v>145</v>
      </c>
      <c r="D31" s="73">
        <v>-1357434.8674298148</v>
      </c>
      <c r="E31" s="73"/>
      <c r="F31" s="96">
        <f t="shared" si="2"/>
        <v>-1357434.8674298148</v>
      </c>
      <c r="G31" s="73">
        <v>-1086464.0648233928</v>
      </c>
      <c r="H31" s="73"/>
      <c r="I31" s="96">
        <f t="shared" si="3"/>
        <v>-1086464.0648233928</v>
      </c>
    </row>
    <row r="32" spans="2:9" ht="17.25" customHeight="1" x14ac:dyDescent="0.2">
      <c r="B32" s="287"/>
      <c r="C32" s="322" t="s">
        <v>146</v>
      </c>
      <c r="D32" s="334">
        <f t="shared" ref="D32:I32" si="4">SUM(D24:D31)</f>
        <v>-21103473.844399177</v>
      </c>
      <c r="E32" s="96">
        <f t="shared" si="4"/>
        <v>-2490855.3071630318</v>
      </c>
      <c r="F32" s="96">
        <f>SUM(F24:F31)</f>
        <v>-23594329.151562206</v>
      </c>
      <c r="G32" s="96">
        <f t="shared" si="4"/>
        <v>-20969335.460625347</v>
      </c>
      <c r="H32" s="96">
        <f t="shared" si="4"/>
        <v>-2451963.8180953264</v>
      </c>
      <c r="I32" s="96">
        <f t="shared" si="4"/>
        <v>-23421299.278720673</v>
      </c>
    </row>
    <row r="33" spans="2:9" ht="17.25" customHeight="1" x14ac:dyDescent="0.2">
      <c r="B33" s="287"/>
      <c r="C33" s="42" t="s">
        <v>147</v>
      </c>
      <c r="D33" s="41"/>
      <c r="E33" s="41"/>
      <c r="F33" s="114"/>
      <c r="G33" s="41"/>
      <c r="H33" s="41"/>
      <c r="I33" s="114"/>
    </row>
    <row r="34" spans="2:9" ht="17.25" customHeight="1" x14ac:dyDescent="0.2">
      <c r="B34" s="319" t="s">
        <v>751</v>
      </c>
      <c r="C34" s="29" t="s">
        <v>148</v>
      </c>
      <c r="D34" s="96">
        <f>SUMIF('2.5 Shared expenses'!$C$15:$C$35,$C34,'2.5 Shared expenses'!H$15:H$35)</f>
        <v>-3438811.0448999992</v>
      </c>
      <c r="E34" s="96">
        <f>SUMIF('2.5 Shared expenses'!$C$15:$C$35,$C34,'2.5 Shared expenses'!I$15:I$35)</f>
        <v>0</v>
      </c>
      <c r="F34" s="96">
        <f t="shared" ref="F34:F42" si="5">SUM(D34:E34)</f>
        <v>-3438811.0448999992</v>
      </c>
      <c r="G34" s="73">
        <v>-3575684.2757606944</v>
      </c>
      <c r="H34" s="73"/>
      <c r="I34" s="96">
        <f t="shared" ref="I34:I42" si="6">SUM(G34:H34)</f>
        <v>-3575684.2757606944</v>
      </c>
    </row>
    <row r="35" spans="2:9" ht="17.25" customHeight="1" x14ac:dyDescent="0.2">
      <c r="B35" s="319" t="s">
        <v>751</v>
      </c>
      <c r="C35" s="29" t="s">
        <v>149</v>
      </c>
      <c r="D35" s="96">
        <f>SUMIF('2.5 Shared expenses'!$C$15:$C$35,$C35,'2.5 Shared expenses'!H$15:H$35)</f>
        <v>-867157.53960600006</v>
      </c>
      <c r="E35" s="96">
        <f>SUMIF('2.5 Shared expenses'!$C$15:$C$35,$C35,'2.5 Shared expenses'!I$15:I$35)</f>
        <v>0</v>
      </c>
      <c r="F35" s="96">
        <f t="shared" si="5"/>
        <v>-867157.53960600006</v>
      </c>
      <c r="G35" s="73">
        <v>-768089.21814899484</v>
      </c>
      <c r="H35" s="73"/>
      <c r="I35" s="96">
        <f t="shared" si="6"/>
        <v>-768089.21814899484</v>
      </c>
    </row>
    <row r="36" spans="2:9" ht="17.25" customHeight="1" x14ac:dyDescent="0.2">
      <c r="B36" s="319" t="s">
        <v>751</v>
      </c>
      <c r="C36" s="323" t="s">
        <v>150</v>
      </c>
      <c r="D36" s="96">
        <f>SUMIF('2.5 Shared expenses'!$C$15:$C$35,$C36,'2.5 Shared expenses'!H$15:H$35)</f>
        <v>-992609.08174200053</v>
      </c>
      <c r="E36" s="96">
        <f>SUMIF('2.5 Shared expenses'!$C$15:$C$35,$C36,'2.5 Shared expenses'!I$15:I$35)</f>
        <v>0</v>
      </c>
      <c r="F36" s="96">
        <f t="shared" si="5"/>
        <v>-992609.08174200053</v>
      </c>
      <c r="G36" s="73">
        <v>-833836.13158449612</v>
      </c>
      <c r="H36" s="73"/>
      <c r="I36" s="96">
        <f t="shared" si="6"/>
        <v>-833836.13158449612</v>
      </c>
    </row>
    <row r="37" spans="2:9" ht="17.25" customHeight="1" x14ac:dyDescent="0.2">
      <c r="B37" s="319" t="s">
        <v>751</v>
      </c>
      <c r="C37" s="43" t="s">
        <v>151</v>
      </c>
      <c r="D37" s="96">
        <f>SUMIF('2.5 Shared expenses'!$C$15:$C$35,$C37,'2.5 Shared expenses'!H$15:H$35)</f>
        <v>-1759926.8039999998</v>
      </c>
      <c r="E37" s="96">
        <f>SUMIF('2.5 Shared expenses'!$C$15:$C$35,$C37,'2.5 Shared expenses'!I$15:I$35)</f>
        <v>0</v>
      </c>
      <c r="F37" s="96">
        <f t="shared" si="5"/>
        <v>-1759926.8039999998</v>
      </c>
      <c r="G37" s="73">
        <v>-1758342.8237000001</v>
      </c>
      <c r="H37" s="73"/>
      <c r="I37" s="96">
        <f t="shared" si="6"/>
        <v>-1758342.8237000001</v>
      </c>
    </row>
    <row r="38" spans="2:9" ht="17.25" customHeight="1" x14ac:dyDescent="0.2">
      <c r="B38" s="319" t="s">
        <v>751</v>
      </c>
      <c r="C38" s="43" t="s">
        <v>152</v>
      </c>
      <c r="D38" s="96">
        <f>SUMIF('2.5 Shared expenses'!$C$15:$C$35,$C38,'2.5 Shared expenses'!H$15:H$35)</f>
        <v>-231945.84572199997</v>
      </c>
      <c r="E38" s="96">
        <f>SUMIF('2.5 Shared expenses'!$C$15:$C$35,$C38,'2.5 Shared expenses'!I$15:I$35)</f>
        <v>0</v>
      </c>
      <c r="F38" s="96">
        <f t="shared" si="5"/>
        <v>-231945.84572199997</v>
      </c>
      <c r="G38" s="73">
        <v>-208313.38561264728</v>
      </c>
      <c r="H38" s="73"/>
      <c r="I38" s="96">
        <f t="shared" si="6"/>
        <v>-208313.38561264728</v>
      </c>
    </row>
    <row r="39" spans="2:9" ht="17.25" customHeight="1" x14ac:dyDescent="0.2">
      <c r="B39" s="319" t="s">
        <v>751</v>
      </c>
      <c r="C39" s="323" t="s">
        <v>153</v>
      </c>
      <c r="D39" s="96">
        <f>SUMIF('2.5 Shared expenses'!$C$15:$C$35,$C39,'2.5 Shared expenses'!H$15:H$35)</f>
        <v>-47911.175392000005</v>
      </c>
      <c r="E39" s="96">
        <f>SUMIF('2.5 Shared expenses'!$C$15:$C$35,$C39,'2.5 Shared expenses'!I$15:I$35)</f>
        <v>0</v>
      </c>
      <c r="F39" s="96">
        <f t="shared" si="5"/>
        <v>-47911.175392000005</v>
      </c>
      <c r="G39" s="73">
        <v>-51590.716282531459</v>
      </c>
      <c r="H39" s="73"/>
      <c r="I39" s="96">
        <f t="shared" si="6"/>
        <v>-51590.716282531459</v>
      </c>
    </row>
    <row r="40" spans="2:9" ht="17.25" customHeight="1" x14ac:dyDescent="0.2">
      <c r="B40" s="319" t="s">
        <v>751</v>
      </c>
      <c r="C40" s="323" t="s">
        <v>154</v>
      </c>
      <c r="D40" s="96">
        <f>SUMIF('2.5 Shared expenses'!$C$15:$C$35,$C40,'2.5 Shared expenses'!H$15:H$35)</f>
        <v>0</v>
      </c>
      <c r="E40" s="96">
        <f>SUMIF('2.5 Shared expenses'!$C$15:$C$35,$C40,'2.5 Shared expenses'!I$15:I$35)</f>
        <v>0</v>
      </c>
      <c r="F40" s="96">
        <f t="shared" si="5"/>
        <v>0</v>
      </c>
      <c r="G40" s="73">
        <v>0</v>
      </c>
      <c r="H40" s="73"/>
      <c r="I40" s="96">
        <f t="shared" si="6"/>
        <v>0</v>
      </c>
    </row>
    <row r="41" spans="2:9" ht="17.25" customHeight="1" x14ac:dyDescent="0.2">
      <c r="B41" s="319" t="s">
        <v>751</v>
      </c>
      <c r="C41" s="323" t="s">
        <v>155</v>
      </c>
      <c r="D41" s="96">
        <f>SUMIF('2.5 Shared expenses'!$C$15:$C$35,$C41,'2.5 Shared expenses'!H$15:H$35)</f>
        <v>0</v>
      </c>
      <c r="E41" s="96">
        <f>SUMIF('2.5 Shared expenses'!$C$15:$C$35,$C41,'2.5 Shared expenses'!I$15:I$35)</f>
        <v>0</v>
      </c>
      <c r="F41" s="96">
        <f t="shared" si="5"/>
        <v>0</v>
      </c>
      <c r="G41" s="73">
        <v>0</v>
      </c>
      <c r="H41" s="73"/>
      <c r="I41" s="96">
        <f t="shared" si="6"/>
        <v>0</v>
      </c>
    </row>
    <row r="42" spans="2:9" ht="17.25" customHeight="1" x14ac:dyDescent="0.2">
      <c r="B42" s="319" t="s">
        <v>751</v>
      </c>
      <c r="C42" s="43" t="s">
        <v>156</v>
      </c>
      <c r="D42" s="96">
        <f>SUMIF('2.5 Shared expenses'!$C$15:$C$35,$C42,'2.5 Shared expenses'!H$15:H$35)</f>
        <v>-1002083</v>
      </c>
      <c r="E42" s="96">
        <f>SUMIF('2.5 Shared expenses'!$C$15:$C$35,$C42,'2.5 Shared expenses'!I$15:I$35)</f>
        <v>0</v>
      </c>
      <c r="F42" s="96">
        <f t="shared" si="5"/>
        <v>-1002083</v>
      </c>
      <c r="G42" s="73">
        <v>-773592.66</v>
      </c>
      <c r="H42" s="73"/>
      <c r="I42" s="96">
        <f t="shared" si="6"/>
        <v>-773592.66</v>
      </c>
    </row>
    <row r="43" spans="2:9" ht="17.25" customHeight="1" x14ac:dyDescent="0.2">
      <c r="B43" s="287"/>
      <c r="C43" s="322" t="s">
        <v>157</v>
      </c>
      <c r="D43" s="96">
        <f t="shared" ref="D43:I43" si="7">SUM(D34:D42)</f>
        <v>-8340444.4913619999</v>
      </c>
      <c r="E43" s="96">
        <f t="shared" si="7"/>
        <v>0</v>
      </c>
      <c r="F43" s="96">
        <f>SUM(F34:F42)</f>
        <v>-8340444.4913619999</v>
      </c>
      <c r="G43" s="96">
        <f t="shared" si="7"/>
        <v>-7969449.2110893643</v>
      </c>
      <c r="H43" s="96">
        <f t="shared" si="7"/>
        <v>0</v>
      </c>
      <c r="I43" s="96">
        <f t="shared" si="7"/>
        <v>-7969449.2110893643</v>
      </c>
    </row>
    <row r="44" spans="2:9" ht="17.25" customHeight="1" x14ac:dyDescent="0.2">
      <c r="B44" s="287"/>
      <c r="C44" s="322" t="s">
        <v>158</v>
      </c>
      <c r="D44" s="22">
        <f t="shared" ref="D44:I44" si="8">D43+D32</f>
        <v>-29443918.335761175</v>
      </c>
      <c r="E44" s="22">
        <f t="shared" si="8"/>
        <v>-2490855.3071630318</v>
      </c>
      <c r="F44" s="22">
        <f t="shared" si="8"/>
        <v>-31934773.642924204</v>
      </c>
      <c r="G44" s="22">
        <f t="shared" si="8"/>
        <v>-28938784.671714712</v>
      </c>
      <c r="H44" s="22">
        <f t="shared" si="8"/>
        <v>-2451963.8180953264</v>
      </c>
      <c r="I44" s="22">
        <f t="shared" si="8"/>
        <v>-31390748.489810038</v>
      </c>
    </row>
    <row r="45" spans="2:9" ht="17.25" customHeight="1" x14ac:dyDescent="0.2">
      <c r="B45" s="287"/>
      <c r="C45" s="324" t="s">
        <v>63</v>
      </c>
      <c r="D45" s="22">
        <f t="shared" ref="D45:I45" si="9">D22-ABS(D44)</f>
        <v>35562337.511858314</v>
      </c>
      <c r="E45" s="22">
        <f t="shared" si="9"/>
        <v>-1169218.431782105</v>
      </c>
      <c r="F45" s="22">
        <f t="shared" si="9"/>
        <v>34393119.08007621</v>
      </c>
      <c r="G45" s="22">
        <f t="shared" si="9"/>
        <v>34632641.201634705</v>
      </c>
      <c r="H45" s="22">
        <f t="shared" si="9"/>
        <v>-1428657.3729031733</v>
      </c>
      <c r="I45" s="22">
        <f t="shared" si="9"/>
        <v>33203983.828731533</v>
      </c>
    </row>
    <row r="73" spans="2:2" ht="22.7" customHeight="1" x14ac:dyDescent="0.2"/>
    <row r="77" spans="2:2" x14ac:dyDescent="0.2">
      <c r="B77" s="106"/>
    </row>
    <row r="85" spans="2:2" x14ac:dyDescent="0.2">
      <c r="B85" s="106"/>
    </row>
    <row r="92" spans="2:2" x14ac:dyDescent="0.2">
      <c r="B92" s="106"/>
    </row>
    <row r="115" ht="16.5" customHeight="1" x14ac:dyDescent="0.2"/>
  </sheetData>
  <sheetProtection algorithmName="SHA-512" hashValue="tLBrcZ+Md8mUZFYwivwWJol3S2+UZGg+R5Ew0s+iRzerjfQH4aBa7quUNiCRcVV4voY/wWaGTngwTheT4GeraQ==" saltValue="E8xUFByE+VRg9cdAaUT/Rw==" spinCount="100000" sheet="1" objects="1" scenarios="1"/>
  <mergeCells count="2">
    <mergeCell ref="B9:F9"/>
    <mergeCell ref="G9:I9"/>
  </mergeCells>
  <phoneticPr fontId="7" type="noConversion"/>
  <pageMargins left="0.75" right="0.75" top="1" bottom="1" header="0.5" footer="0.5"/>
  <pageSetup paperSize="9" scale="55" orientation="landscape" verticalDpi="2"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17415D"/>
    <pageSetUpPr fitToPage="1"/>
  </sheetPr>
  <dimension ref="B1:M93"/>
  <sheetViews>
    <sheetView zoomScaleNormal="100" workbookViewId="0">
      <pane xSplit="1" ySplit="4" topLeftCell="B5" activePane="bottomRight" state="frozen"/>
      <selection activeCell="B13" sqref="B13"/>
      <selection pane="topRight" activeCell="B13" sqref="B13"/>
      <selection pane="bottomLeft" activeCell="B13" sqref="B13"/>
      <selection pane="bottomRight" activeCell="B5" sqref="B5"/>
    </sheetView>
  </sheetViews>
  <sheetFormatPr defaultColWidth="9.140625" defaultRowHeight="12.75" x14ac:dyDescent="0.2"/>
  <cols>
    <col min="1" max="1" width="12" style="4" customWidth="1"/>
    <col min="2" max="2" width="18.42578125" style="4" customWidth="1"/>
    <col min="3" max="3" width="52.85546875" style="4" customWidth="1"/>
    <col min="4" max="11" width="20.85546875" style="4" customWidth="1"/>
    <col min="12" max="16384" width="9.140625" style="4"/>
  </cols>
  <sheetData>
    <row r="1" spans="2:13" ht="20.25" customHeight="1" x14ac:dyDescent="0.3">
      <c r="B1" s="136" t="s">
        <v>53</v>
      </c>
      <c r="C1" s="136"/>
      <c r="D1" s="204"/>
      <c r="E1" s="204"/>
      <c r="F1" s="204"/>
      <c r="G1" s="204"/>
      <c r="H1" s="204"/>
      <c r="I1" s="204"/>
    </row>
    <row r="2" spans="2:13" ht="20.25" customHeight="1" x14ac:dyDescent="0.45">
      <c r="B2" s="136" t="str">
        <f>IF(Tradingname=0," ",Tradingname)</f>
        <v>SEA Gas Partnership</v>
      </c>
      <c r="C2" s="136"/>
      <c r="I2" s="243"/>
    </row>
    <row r="3" spans="2:13" ht="20.25" customHeight="1" x14ac:dyDescent="0.3">
      <c r="B3" s="136" t="s">
        <v>30</v>
      </c>
      <c r="C3" s="105">
        <f>IF(Yearending=0, "01/01/2000", Yearending)</f>
        <v>45838</v>
      </c>
    </row>
    <row r="4" spans="2:13" ht="20.25" x14ac:dyDescent="0.2">
      <c r="B4" s="97" t="s">
        <v>159</v>
      </c>
      <c r="C4" s="97"/>
      <c r="D4" s="249"/>
      <c r="G4" s="249"/>
    </row>
    <row r="5" spans="2:13" x14ac:dyDescent="0.2">
      <c r="B5" s="191"/>
      <c r="C5" s="191"/>
      <c r="D5" s="191"/>
      <c r="E5" s="191"/>
      <c r="F5" s="191"/>
      <c r="G5" s="191"/>
      <c r="H5" s="191"/>
      <c r="I5" s="191"/>
      <c r="J5" s="191"/>
      <c r="K5" s="191"/>
      <c r="L5" s="191"/>
      <c r="M5" s="191"/>
    </row>
    <row r="6" spans="2:13" x14ac:dyDescent="0.2">
      <c r="B6" s="191"/>
      <c r="C6" s="191"/>
      <c r="D6" s="191"/>
      <c r="E6" s="191"/>
      <c r="F6" s="191"/>
      <c r="G6" s="191"/>
      <c r="H6" s="191"/>
      <c r="I6" s="191"/>
      <c r="J6" s="191"/>
      <c r="K6" s="191"/>
      <c r="L6" s="191"/>
      <c r="M6" s="191"/>
    </row>
    <row r="7" spans="2:13" ht="15.75" x14ac:dyDescent="0.2">
      <c r="B7" s="250" t="s">
        <v>160</v>
      </c>
      <c r="C7" s="191"/>
      <c r="D7" s="191"/>
      <c r="E7" s="191"/>
      <c r="F7" s="191"/>
      <c r="G7" s="191"/>
      <c r="H7" s="191"/>
      <c r="I7" s="191"/>
      <c r="J7" s="191"/>
      <c r="K7" s="191"/>
      <c r="L7" s="191"/>
      <c r="M7" s="191"/>
    </row>
    <row r="8" spans="2:13" x14ac:dyDescent="0.2">
      <c r="B8" s="251"/>
      <c r="C8" s="252"/>
      <c r="D8" s="253"/>
      <c r="E8" s="253"/>
      <c r="F8" s="253"/>
      <c r="G8" s="253"/>
      <c r="H8" s="253"/>
      <c r="I8" s="253"/>
      <c r="J8" s="253"/>
      <c r="K8" s="253"/>
      <c r="L8" s="191"/>
      <c r="M8" s="191"/>
    </row>
    <row r="9" spans="2:13" ht="21" customHeight="1" x14ac:dyDescent="0.2">
      <c r="B9" s="254"/>
      <c r="C9" s="254"/>
      <c r="D9" s="399" t="s">
        <v>161</v>
      </c>
      <c r="E9" s="400"/>
      <c r="F9" s="400"/>
      <c r="G9" s="401"/>
      <c r="H9" s="399" t="s">
        <v>123</v>
      </c>
      <c r="I9" s="400"/>
      <c r="J9" s="400"/>
      <c r="K9" s="401"/>
      <c r="L9" s="191"/>
      <c r="M9" s="191"/>
    </row>
    <row r="10" spans="2:13" ht="51" customHeight="1" x14ac:dyDescent="0.2">
      <c r="B10" s="53" t="s">
        <v>112</v>
      </c>
      <c r="C10" s="254" t="s">
        <v>113</v>
      </c>
      <c r="D10" s="220" t="s">
        <v>162</v>
      </c>
      <c r="E10" s="220" t="s">
        <v>124</v>
      </c>
      <c r="F10" s="220" t="s">
        <v>125</v>
      </c>
      <c r="G10" s="220" t="s">
        <v>56</v>
      </c>
      <c r="H10" s="220" t="s">
        <v>162</v>
      </c>
      <c r="I10" s="220" t="s">
        <v>124</v>
      </c>
      <c r="J10" s="220" t="s">
        <v>125</v>
      </c>
      <c r="K10" s="220" t="s">
        <v>56</v>
      </c>
      <c r="L10" s="191"/>
      <c r="M10" s="191"/>
    </row>
    <row r="11" spans="2:13" ht="15.75" customHeight="1" x14ac:dyDescent="0.2">
      <c r="B11" s="53"/>
      <c r="C11" s="254"/>
      <c r="D11" s="117" t="s">
        <v>163</v>
      </c>
      <c r="E11" s="117" t="s">
        <v>115</v>
      </c>
      <c r="F11" s="117" t="s">
        <v>115</v>
      </c>
      <c r="G11" s="117" t="s">
        <v>115</v>
      </c>
      <c r="H11" s="117" t="s">
        <v>163</v>
      </c>
      <c r="I11" s="117" t="s">
        <v>115</v>
      </c>
      <c r="J11" s="117" t="s">
        <v>115</v>
      </c>
      <c r="K11" s="117" t="s">
        <v>115</v>
      </c>
      <c r="L11" s="191"/>
      <c r="M11" s="191"/>
    </row>
    <row r="12" spans="2:13" x14ac:dyDescent="0.2">
      <c r="B12" s="188"/>
      <c r="C12" s="261" t="s">
        <v>164</v>
      </c>
      <c r="D12" s="117"/>
      <c r="E12" s="117"/>
      <c r="F12" s="117"/>
      <c r="G12" s="117"/>
      <c r="H12" s="117"/>
      <c r="I12" s="117"/>
      <c r="J12" s="117"/>
      <c r="K12" s="117"/>
      <c r="L12" s="191"/>
      <c r="M12" s="191"/>
    </row>
    <row r="13" spans="2:13" x14ac:dyDescent="0.2">
      <c r="B13" s="307" t="s">
        <v>753</v>
      </c>
      <c r="C13" s="118" t="s">
        <v>78</v>
      </c>
      <c r="D13" s="79">
        <v>0.40739999999999998</v>
      </c>
      <c r="E13" s="262">
        <f t="shared" ref="E13:E22" si="0">D13*$E$23</f>
        <v>26010245.57132018</v>
      </c>
      <c r="F13" s="262">
        <f t="shared" ref="F13:F22" si="1">D13*$F$23</f>
        <v>0</v>
      </c>
      <c r="G13" s="119">
        <f t="shared" ref="G13:G22" si="2">SUM(E13:F13)</f>
        <v>26010245.57132018</v>
      </c>
      <c r="H13" s="79">
        <v>0.41646151260609726</v>
      </c>
      <c r="I13" s="262">
        <f t="shared" ref="I13:I22" si="3">H13*$I$23</f>
        <v>26152880.466819998</v>
      </c>
      <c r="J13" s="262">
        <f t="shared" ref="J13:J22" si="4">H13*$J$23</f>
        <v>0</v>
      </c>
      <c r="K13" s="119">
        <f t="shared" ref="K13:K22" si="5">SUM(I13:J13)</f>
        <v>26152880.466819998</v>
      </c>
      <c r="L13" s="191"/>
      <c r="M13" s="263"/>
    </row>
    <row r="14" spans="2:13" x14ac:dyDescent="0.2">
      <c r="B14" s="307" t="s">
        <v>753</v>
      </c>
      <c r="C14" s="118" t="s">
        <v>80</v>
      </c>
      <c r="D14" s="79">
        <v>1.6000000000000001E-3</v>
      </c>
      <c r="E14" s="262">
        <f t="shared" si="0"/>
        <v>102151.18535619118</v>
      </c>
      <c r="F14" s="262">
        <f t="shared" si="1"/>
        <v>0</v>
      </c>
      <c r="G14" s="119">
        <f t="shared" si="2"/>
        <v>102151.18535619118</v>
      </c>
      <c r="H14" s="79">
        <v>1.3354220940893292E-3</v>
      </c>
      <c r="I14" s="262">
        <f t="shared" si="3"/>
        <v>83861.61348</v>
      </c>
      <c r="J14" s="262">
        <f t="shared" si="4"/>
        <v>0</v>
      </c>
      <c r="K14" s="119">
        <f t="shared" si="5"/>
        <v>83861.61348</v>
      </c>
      <c r="L14" s="191"/>
      <c r="M14" s="263"/>
    </row>
    <row r="15" spans="2:13" x14ac:dyDescent="0.2">
      <c r="B15" s="307" t="s">
        <v>753</v>
      </c>
      <c r="C15" s="118" t="s">
        <v>81</v>
      </c>
      <c r="D15" s="79">
        <v>4.3799999999999999E-2</v>
      </c>
      <c r="E15" s="262">
        <f t="shared" si="0"/>
        <v>2796388.6991257337</v>
      </c>
      <c r="F15" s="262">
        <f t="shared" si="1"/>
        <v>0</v>
      </c>
      <c r="G15" s="119">
        <f t="shared" si="2"/>
        <v>2796388.6991257337</v>
      </c>
      <c r="H15" s="79">
        <v>4.766814436506428E-2</v>
      </c>
      <c r="I15" s="262">
        <f t="shared" si="3"/>
        <v>2993456.1632199995</v>
      </c>
      <c r="J15" s="262">
        <f t="shared" si="4"/>
        <v>0</v>
      </c>
      <c r="K15" s="119">
        <f t="shared" si="5"/>
        <v>2993456.1632199995</v>
      </c>
      <c r="L15" s="191"/>
      <c r="M15" s="263"/>
    </row>
    <row r="16" spans="2:13" x14ac:dyDescent="0.2">
      <c r="B16" s="307" t="s">
        <v>753</v>
      </c>
      <c r="C16" s="118" t="s">
        <v>82</v>
      </c>
      <c r="D16" s="79">
        <v>0</v>
      </c>
      <c r="E16" s="262">
        <f t="shared" si="0"/>
        <v>0</v>
      </c>
      <c r="F16" s="262">
        <f t="shared" si="1"/>
        <v>0</v>
      </c>
      <c r="G16" s="119">
        <f t="shared" si="2"/>
        <v>0</v>
      </c>
      <c r="H16" s="79">
        <v>0</v>
      </c>
      <c r="I16" s="262">
        <f t="shared" si="3"/>
        <v>0</v>
      </c>
      <c r="J16" s="262">
        <f t="shared" si="4"/>
        <v>0</v>
      </c>
      <c r="K16" s="119">
        <f t="shared" si="5"/>
        <v>0</v>
      </c>
      <c r="L16" s="191"/>
      <c r="M16" s="263"/>
    </row>
    <row r="17" spans="2:13" x14ac:dyDescent="0.2">
      <c r="B17" s="307" t="s">
        <v>753</v>
      </c>
      <c r="C17" s="194" t="s">
        <v>83</v>
      </c>
      <c r="D17" s="79">
        <v>0</v>
      </c>
      <c r="E17" s="262">
        <f t="shared" si="0"/>
        <v>0</v>
      </c>
      <c r="F17" s="262">
        <f t="shared" si="1"/>
        <v>0</v>
      </c>
      <c r="G17" s="119">
        <f t="shared" si="2"/>
        <v>0</v>
      </c>
      <c r="H17" s="79">
        <v>0</v>
      </c>
      <c r="I17" s="262">
        <f t="shared" si="3"/>
        <v>0</v>
      </c>
      <c r="J17" s="262">
        <f t="shared" si="4"/>
        <v>0</v>
      </c>
      <c r="K17" s="119">
        <f t="shared" si="5"/>
        <v>0</v>
      </c>
      <c r="L17" s="191"/>
      <c r="M17" s="263"/>
    </row>
    <row r="18" spans="2:13" x14ac:dyDescent="0.2">
      <c r="B18" s="307" t="s">
        <v>753</v>
      </c>
      <c r="C18" s="118" t="s">
        <v>84</v>
      </c>
      <c r="D18" s="79">
        <v>0.46479999999999999</v>
      </c>
      <c r="E18" s="262">
        <f t="shared" si="0"/>
        <v>29674919.345973536</v>
      </c>
      <c r="F18" s="262">
        <f t="shared" si="1"/>
        <v>0</v>
      </c>
      <c r="G18" s="119">
        <f t="shared" si="2"/>
        <v>29674919.345973536</v>
      </c>
      <c r="H18" s="79">
        <v>0.44942121155358128</v>
      </c>
      <c r="I18" s="262">
        <f t="shared" si="3"/>
        <v>28222678.13288001</v>
      </c>
      <c r="J18" s="262">
        <f t="shared" si="4"/>
        <v>0</v>
      </c>
      <c r="K18" s="119">
        <f t="shared" si="5"/>
        <v>28222678.13288001</v>
      </c>
      <c r="L18" s="191"/>
      <c r="M18" s="263"/>
    </row>
    <row r="19" spans="2:13" x14ac:dyDescent="0.2">
      <c r="B19" s="307" t="s">
        <v>753</v>
      </c>
      <c r="C19" s="118" t="s">
        <v>85</v>
      </c>
      <c r="D19" s="79">
        <v>0</v>
      </c>
      <c r="E19" s="262">
        <f t="shared" si="0"/>
        <v>0</v>
      </c>
      <c r="F19" s="262">
        <f t="shared" si="1"/>
        <v>0</v>
      </c>
      <c r="G19" s="119">
        <f t="shared" si="2"/>
        <v>0</v>
      </c>
      <c r="H19" s="79">
        <v>0</v>
      </c>
      <c r="I19" s="262">
        <f t="shared" si="3"/>
        <v>0</v>
      </c>
      <c r="J19" s="262">
        <f t="shared" si="4"/>
        <v>0</v>
      </c>
      <c r="K19" s="119">
        <f t="shared" si="5"/>
        <v>0</v>
      </c>
      <c r="L19" s="191"/>
      <c r="M19" s="263"/>
    </row>
    <row r="20" spans="2:13" x14ac:dyDescent="0.2">
      <c r="B20" s="307" t="s">
        <v>753</v>
      </c>
      <c r="C20" s="118" t="s">
        <v>86</v>
      </c>
      <c r="D20" s="79">
        <v>0</v>
      </c>
      <c r="E20" s="262">
        <f t="shared" si="0"/>
        <v>0</v>
      </c>
      <c r="F20" s="262">
        <f t="shared" si="1"/>
        <v>0</v>
      </c>
      <c r="G20" s="119">
        <f t="shared" si="2"/>
        <v>0</v>
      </c>
      <c r="H20" s="79">
        <v>0</v>
      </c>
      <c r="I20" s="262">
        <f t="shared" si="3"/>
        <v>0</v>
      </c>
      <c r="J20" s="262">
        <f t="shared" si="4"/>
        <v>0</v>
      </c>
      <c r="K20" s="119">
        <f t="shared" si="5"/>
        <v>0</v>
      </c>
      <c r="L20" s="191"/>
      <c r="M20" s="263"/>
    </row>
    <row r="21" spans="2:13" x14ac:dyDescent="0.2">
      <c r="B21" s="307" t="s">
        <v>753</v>
      </c>
      <c r="C21" s="118" t="s">
        <v>88</v>
      </c>
      <c r="D21" s="79">
        <v>0</v>
      </c>
      <c r="E21" s="262">
        <f t="shared" si="0"/>
        <v>0</v>
      </c>
      <c r="F21" s="262">
        <f t="shared" si="1"/>
        <v>0</v>
      </c>
      <c r="G21" s="119">
        <f t="shared" si="2"/>
        <v>0</v>
      </c>
      <c r="H21" s="79">
        <v>0</v>
      </c>
      <c r="I21" s="262">
        <f t="shared" si="3"/>
        <v>0</v>
      </c>
      <c r="J21" s="262">
        <f t="shared" si="4"/>
        <v>0</v>
      </c>
      <c r="K21" s="119">
        <f t="shared" si="5"/>
        <v>0</v>
      </c>
      <c r="L21" s="191"/>
      <c r="M21" s="263"/>
    </row>
    <row r="22" spans="2:13" x14ac:dyDescent="0.2">
      <c r="B22" s="307" t="s">
        <v>753</v>
      </c>
      <c r="C22" s="118" t="s">
        <v>90</v>
      </c>
      <c r="D22" s="79">
        <v>8.2400000000000001E-2</v>
      </c>
      <c r="E22" s="262">
        <f t="shared" si="0"/>
        <v>5260786.0458438462</v>
      </c>
      <c r="F22" s="262">
        <f t="shared" si="1"/>
        <v>0</v>
      </c>
      <c r="G22" s="119">
        <f t="shared" si="2"/>
        <v>5260786.0458438462</v>
      </c>
      <c r="H22" s="79">
        <v>8.5113709381167899E-2</v>
      </c>
      <c r="I22" s="262">
        <f t="shared" si="3"/>
        <v>5344956.4969494147</v>
      </c>
      <c r="J22" s="262">
        <f t="shared" si="4"/>
        <v>0</v>
      </c>
      <c r="K22" s="119">
        <f t="shared" si="5"/>
        <v>5344956.4969494147</v>
      </c>
      <c r="L22" s="191"/>
      <c r="M22" s="263"/>
    </row>
    <row r="23" spans="2:13" x14ac:dyDescent="0.2">
      <c r="B23" s="288"/>
      <c r="C23" s="186" t="s">
        <v>165</v>
      </c>
      <c r="D23" s="122">
        <f>SUM(D13:D22)</f>
        <v>1</v>
      </c>
      <c r="E23" s="120">
        <f>'2.1 Profit &amp; Loss by component'!D18-'2.1 Profit &amp; Loss by component'!D15-'2.1 Profit &amp; Loss by component'!D14</f>
        <v>63844490.847619489</v>
      </c>
      <c r="F23" s="120">
        <f>'2.1 Profit &amp; Loss by component'!E18-'2.1 Profit &amp; Loss by component'!E14</f>
        <v>0</v>
      </c>
      <c r="G23" s="120">
        <f>SUM(G13:G22)</f>
        <v>63844490.847619489</v>
      </c>
      <c r="H23" s="122">
        <f>SUM(H13:H22)</f>
        <v>1</v>
      </c>
      <c r="I23" s="120">
        <f>'2.1 Profit &amp; Loss by component'!G18-'2.1 Profit &amp; Loss by component'!G14-'2.1 Profit &amp; Loss by component'!G15</f>
        <v>62797832.873349421</v>
      </c>
      <c r="J23" s="120">
        <f>'2.1 Profit &amp; Loss by component'!H18-'2.1 Profit &amp; Loss by component'!H14-'2.1 Profit &amp; Loss by component'!H15</f>
        <v>0</v>
      </c>
      <c r="K23" s="120">
        <f>SUM(K13:K22)</f>
        <v>62797832.873349421</v>
      </c>
      <c r="L23" s="191"/>
      <c r="M23" s="191"/>
    </row>
    <row r="24" spans="2:13" x14ac:dyDescent="0.2">
      <c r="B24" s="188"/>
      <c r="C24" s="261" t="s">
        <v>166</v>
      </c>
      <c r="D24" s="117"/>
      <c r="E24" s="117"/>
      <c r="F24" s="117"/>
      <c r="G24" s="117"/>
      <c r="H24" s="117"/>
      <c r="I24" s="117"/>
      <c r="J24" s="117"/>
      <c r="K24" s="117"/>
      <c r="L24" s="191"/>
      <c r="M24" s="191"/>
    </row>
    <row r="25" spans="2:13" x14ac:dyDescent="0.2">
      <c r="B25" s="308" t="s">
        <v>754</v>
      </c>
      <c r="C25" s="118" t="s">
        <v>78</v>
      </c>
      <c r="D25" s="79">
        <v>0</v>
      </c>
      <c r="E25" s="262">
        <f t="shared" ref="E25:F34" si="6">$D25*E$35</f>
        <v>0</v>
      </c>
      <c r="F25" s="262">
        <f t="shared" si="6"/>
        <v>0</v>
      </c>
      <c r="G25" s="119">
        <f t="shared" ref="G25:G34" si="7">SUM(E25:F25)</f>
        <v>0</v>
      </c>
      <c r="H25" s="79">
        <v>0</v>
      </c>
      <c r="I25" s="262">
        <f t="shared" ref="I25:I34" si="8">H25*$I$35</f>
        <v>0</v>
      </c>
      <c r="J25" s="262">
        <f t="shared" ref="J25:J34" si="9">H25*$J$35</f>
        <v>0</v>
      </c>
      <c r="K25" s="119">
        <f t="shared" ref="K25:K34" si="10">SUM(I25:J25)</f>
        <v>0</v>
      </c>
      <c r="L25" s="191"/>
      <c r="M25" s="191"/>
    </row>
    <row r="26" spans="2:13" x14ac:dyDescent="0.2">
      <c r="B26" s="308" t="s">
        <v>754</v>
      </c>
      <c r="C26" s="118" t="s">
        <v>80</v>
      </c>
      <c r="D26" s="79">
        <v>0</v>
      </c>
      <c r="E26" s="262">
        <f t="shared" si="6"/>
        <v>0</v>
      </c>
      <c r="F26" s="262">
        <f t="shared" si="6"/>
        <v>0</v>
      </c>
      <c r="G26" s="119">
        <f t="shared" si="7"/>
        <v>0</v>
      </c>
      <c r="H26" s="79">
        <v>0</v>
      </c>
      <c r="I26" s="262">
        <f t="shared" si="8"/>
        <v>0</v>
      </c>
      <c r="J26" s="262">
        <f t="shared" si="9"/>
        <v>0</v>
      </c>
      <c r="K26" s="119">
        <f t="shared" si="10"/>
        <v>0</v>
      </c>
      <c r="L26" s="191"/>
      <c r="M26" s="191"/>
    </row>
    <row r="27" spans="2:13" x14ac:dyDescent="0.2">
      <c r="B27" s="308" t="s">
        <v>754</v>
      </c>
      <c r="C27" s="118" t="s">
        <v>81</v>
      </c>
      <c r="D27" s="79">
        <v>0</v>
      </c>
      <c r="E27" s="262">
        <f t="shared" si="6"/>
        <v>0</v>
      </c>
      <c r="F27" s="262">
        <f t="shared" si="6"/>
        <v>0</v>
      </c>
      <c r="G27" s="119">
        <f t="shared" si="7"/>
        <v>0</v>
      </c>
      <c r="H27" s="79">
        <v>0</v>
      </c>
      <c r="I27" s="262">
        <f t="shared" si="8"/>
        <v>0</v>
      </c>
      <c r="J27" s="262">
        <f t="shared" si="9"/>
        <v>0</v>
      </c>
      <c r="K27" s="119">
        <f t="shared" si="10"/>
        <v>0</v>
      </c>
      <c r="L27" s="191"/>
      <c r="M27" s="191"/>
    </row>
    <row r="28" spans="2:13" ht="12.75" customHeight="1" x14ac:dyDescent="0.2">
      <c r="B28" s="308" t="s">
        <v>754</v>
      </c>
      <c r="C28" s="118" t="s">
        <v>82</v>
      </c>
      <c r="D28" s="79">
        <v>0</v>
      </c>
      <c r="E28" s="262">
        <f t="shared" si="6"/>
        <v>0</v>
      </c>
      <c r="F28" s="262">
        <f t="shared" si="6"/>
        <v>0</v>
      </c>
      <c r="G28" s="119">
        <f t="shared" si="7"/>
        <v>0</v>
      </c>
      <c r="H28" s="79">
        <v>0</v>
      </c>
      <c r="I28" s="262">
        <f t="shared" si="8"/>
        <v>0</v>
      </c>
      <c r="J28" s="262">
        <f t="shared" si="9"/>
        <v>0</v>
      </c>
      <c r="K28" s="119">
        <f t="shared" si="10"/>
        <v>0</v>
      </c>
      <c r="L28" s="191"/>
      <c r="M28" s="191"/>
    </row>
    <row r="29" spans="2:13" ht="12.75" customHeight="1" x14ac:dyDescent="0.2">
      <c r="B29" s="308" t="s">
        <v>754</v>
      </c>
      <c r="C29" s="194" t="s">
        <v>83</v>
      </c>
      <c r="D29" s="79">
        <v>0</v>
      </c>
      <c r="E29" s="262">
        <f t="shared" si="6"/>
        <v>0</v>
      </c>
      <c r="F29" s="262">
        <f t="shared" si="6"/>
        <v>0</v>
      </c>
      <c r="G29" s="119">
        <f t="shared" si="7"/>
        <v>0</v>
      </c>
      <c r="H29" s="79">
        <v>0</v>
      </c>
      <c r="I29" s="262">
        <f t="shared" si="8"/>
        <v>0</v>
      </c>
      <c r="J29" s="262">
        <f t="shared" si="9"/>
        <v>0</v>
      </c>
      <c r="K29" s="119">
        <f t="shared" si="10"/>
        <v>0</v>
      </c>
      <c r="L29" s="191"/>
      <c r="M29" s="191"/>
    </row>
    <row r="30" spans="2:13" x14ac:dyDescent="0.2">
      <c r="B30" s="308" t="s">
        <v>754</v>
      </c>
      <c r="C30" s="118" t="s">
        <v>84</v>
      </c>
      <c r="D30" s="79">
        <v>0</v>
      </c>
      <c r="E30" s="262">
        <f t="shared" si="6"/>
        <v>0</v>
      </c>
      <c r="F30" s="262">
        <f t="shared" si="6"/>
        <v>0</v>
      </c>
      <c r="G30" s="119">
        <f t="shared" si="7"/>
        <v>0</v>
      </c>
      <c r="H30" s="79">
        <v>0</v>
      </c>
      <c r="I30" s="262">
        <f t="shared" si="8"/>
        <v>0</v>
      </c>
      <c r="J30" s="262">
        <f t="shared" si="9"/>
        <v>0</v>
      </c>
      <c r="K30" s="119">
        <f t="shared" si="10"/>
        <v>0</v>
      </c>
      <c r="L30" s="191"/>
      <c r="M30" s="191"/>
    </row>
    <row r="31" spans="2:13" x14ac:dyDescent="0.2">
      <c r="B31" s="308" t="s">
        <v>754</v>
      </c>
      <c r="C31" s="118" t="s">
        <v>85</v>
      </c>
      <c r="D31" s="79">
        <v>0</v>
      </c>
      <c r="E31" s="262">
        <f t="shared" si="6"/>
        <v>0</v>
      </c>
      <c r="F31" s="262">
        <f t="shared" si="6"/>
        <v>0</v>
      </c>
      <c r="G31" s="119">
        <f t="shared" si="7"/>
        <v>0</v>
      </c>
      <c r="H31" s="79">
        <v>0</v>
      </c>
      <c r="I31" s="262">
        <f t="shared" si="8"/>
        <v>0</v>
      </c>
      <c r="J31" s="262">
        <f t="shared" si="9"/>
        <v>0</v>
      </c>
      <c r="K31" s="119">
        <f t="shared" si="10"/>
        <v>0</v>
      </c>
      <c r="L31" s="191"/>
      <c r="M31" s="191"/>
    </row>
    <row r="32" spans="2:13" x14ac:dyDescent="0.2">
      <c r="B32" s="308" t="s">
        <v>754</v>
      </c>
      <c r="C32" s="118" t="s">
        <v>86</v>
      </c>
      <c r="D32" s="79">
        <v>0</v>
      </c>
      <c r="E32" s="262">
        <f t="shared" si="6"/>
        <v>0</v>
      </c>
      <c r="F32" s="262">
        <f t="shared" si="6"/>
        <v>0</v>
      </c>
      <c r="G32" s="119">
        <f t="shared" si="7"/>
        <v>0</v>
      </c>
      <c r="H32" s="79">
        <v>0</v>
      </c>
      <c r="I32" s="262">
        <f t="shared" si="8"/>
        <v>0</v>
      </c>
      <c r="J32" s="262">
        <f t="shared" si="9"/>
        <v>0</v>
      </c>
      <c r="K32" s="119">
        <f t="shared" si="10"/>
        <v>0</v>
      </c>
      <c r="L32" s="191"/>
      <c r="M32" s="191"/>
    </row>
    <row r="33" spans="2:13" x14ac:dyDescent="0.2">
      <c r="B33" s="308" t="s">
        <v>754</v>
      </c>
      <c r="C33" s="118" t="s">
        <v>88</v>
      </c>
      <c r="D33" s="79">
        <v>0</v>
      </c>
      <c r="E33" s="262">
        <f t="shared" si="6"/>
        <v>0</v>
      </c>
      <c r="F33" s="262">
        <f t="shared" si="6"/>
        <v>0</v>
      </c>
      <c r="G33" s="119">
        <f t="shared" si="7"/>
        <v>0</v>
      </c>
      <c r="H33" s="79">
        <v>0</v>
      </c>
      <c r="I33" s="262">
        <f t="shared" si="8"/>
        <v>0</v>
      </c>
      <c r="J33" s="262">
        <f t="shared" si="9"/>
        <v>0</v>
      </c>
      <c r="K33" s="119">
        <f t="shared" si="10"/>
        <v>0</v>
      </c>
      <c r="L33" s="191"/>
      <c r="M33" s="191"/>
    </row>
    <row r="34" spans="2:13" x14ac:dyDescent="0.2">
      <c r="B34" s="308" t="s">
        <v>754</v>
      </c>
      <c r="C34" s="118" t="s">
        <v>90</v>
      </c>
      <c r="D34" s="79">
        <v>1</v>
      </c>
      <c r="E34" s="262">
        <f>$D34*E$35</f>
        <v>0</v>
      </c>
      <c r="F34" s="262">
        <f t="shared" si="6"/>
        <v>0</v>
      </c>
      <c r="G34" s="119">
        <f t="shared" si="7"/>
        <v>0</v>
      </c>
      <c r="H34" s="79">
        <v>1</v>
      </c>
      <c r="I34" s="262">
        <f t="shared" si="8"/>
        <v>0</v>
      </c>
      <c r="J34" s="262">
        <f t="shared" si="9"/>
        <v>0</v>
      </c>
      <c r="K34" s="119">
        <f t="shared" si="10"/>
        <v>0</v>
      </c>
      <c r="L34" s="191"/>
      <c r="M34" s="191"/>
    </row>
    <row r="35" spans="2:13" x14ac:dyDescent="0.2">
      <c r="B35" s="288"/>
      <c r="C35" s="186" t="s">
        <v>167</v>
      </c>
      <c r="D35" s="122">
        <f>SUM(D25:D34)</f>
        <v>1</v>
      </c>
      <c r="E35" s="120">
        <f>'2.1 Profit &amp; Loss by component'!D14+'2.1 Profit &amp; Loss by component'!D15</f>
        <v>0</v>
      </c>
      <c r="F35" s="120">
        <f>'2.1 Profit &amp; Loss by component'!E14+'2.1 Profit &amp; Loss by component'!E15</f>
        <v>0</v>
      </c>
      <c r="G35" s="120">
        <f>SUM(G25:G34)</f>
        <v>0</v>
      </c>
      <c r="H35" s="122">
        <f>SUM(H25:H34)</f>
        <v>1</v>
      </c>
      <c r="I35" s="120">
        <f>'2.1 Profit &amp; Loss by component'!G14+'2.1 Profit &amp; Loss by component'!G15</f>
        <v>0</v>
      </c>
      <c r="J35" s="120">
        <f>'2.1 Profit &amp; Loss by component'!H14</f>
        <v>0</v>
      </c>
      <c r="K35" s="120">
        <f>SUM(K25:K34)</f>
        <v>0</v>
      </c>
      <c r="L35" s="191"/>
      <c r="M35" s="191"/>
    </row>
    <row r="36" spans="2:13" x14ac:dyDescent="0.2">
      <c r="B36" s="188"/>
      <c r="C36" s="261" t="s">
        <v>58</v>
      </c>
      <c r="D36" s="117"/>
      <c r="E36" s="117"/>
      <c r="F36" s="117"/>
      <c r="G36" s="117"/>
      <c r="H36" s="117"/>
      <c r="I36" s="117"/>
      <c r="J36" s="117"/>
      <c r="K36" s="117"/>
      <c r="L36" s="191"/>
      <c r="M36" s="191"/>
    </row>
    <row r="37" spans="2:13" x14ac:dyDescent="0.2">
      <c r="B37" s="308" t="s">
        <v>755</v>
      </c>
      <c r="C37" s="118" t="s">
        <v>78</v>
      </c>
      <c r="D37" s="79">
        <v>0</v>
      </c>
      <c r="E37" s="262">
        <f>$D37*'2.4 Indirect revenue'!$G$42</f>
        <v>0</v>
      </c>
      <c r="F37" s="262">
        <f>$D37*'2.4 Indirect revenue'!$H$42</f>
        <v>0</v>
      </c>
      <c r="G37" s="119">
        <f t="shared" ref="G37:G46" si="11">SUM(E37:F37)</f>
        <v>0</v>
      </c>
      <c r="H37" s="79">
        <v>0</v>
      </c>
      <c r="I37" s="262">
        <f t="shared" ref="I37:I46" si="12">H37*$I$47</f>
        <v>0</v>
      </c>
      <c r="J37" s="262">
        <f t="shared" ref="J37:J46" si="13">H37*$J$47</f>
        <v>0</v>
      </c>
      <c r="K37" s="119">
        <f t="shared" ref="K37:K46" si="14">SUM(I37:J37)</f>
        <v>0</v>
      </c>
      <c r="L37" s="191"/>
      <c r="M37" s="191"/>
    </row>
    <row r="38" spans="2:13" x14ac:dyDescent="0.2">
      <c r="B38" s="308" t="s">
        <v>755</v>
      </c>
      <c r="C38" s="118" t="s">
        <v>80</v>
      </c>
      <c r="D38" s="79">
        <v>0</v>
      </c>
      <c r="E38" s="262">
        <f>$D38*'2.4 Indirect revenue'!$G$42</f>
        <v>0</v>
      </c>
      <c r="F38" s="262">
        <f>$D38*'2.4 Indirect revenue'!$H$42</f>
        <v>0</v>
      </c>
      <c r="G38" s="119">
        <f t="shared" si="11"/>
        <v>0</v>
      </c>
      <c r="H38" s="79">
        <v>0</v>
      </c>
      <c r="I38" s="262">
        <f t="shared" si="12"/>
        <v>0</v>
      </c>
      <c r="J38" s="262">
        <f t="shared" si="13"/>
        <v>0</v>
      </c>
      <c r="K38" s="119">
        <f t="shared" si="14"/>
        <v>0</v>
      </c>
      <c r="L38" s="191"/>
      <c r="M38" s="191"/>
    </row>
    <row r="39" spans="2:13" x14ac:dyDescent="0.2">
      <c r="B39" s="308" t="s">
        <v>755</v>
      </c>
      <c r="C39" s="118" t="s">
        <v>81</v>
      </c>
      <c r="D39" s="79">
        <v>0</v>
      </c>
      <c r="E39" s="262">
        <f>$D39*'2.4 Indirect revenue'!$G$42</f>
        <v>0</v>
      </c>
      <c r="F39" s="262">
        <f>$D39*'2.4 Indirect revenue'!$H$42</f>
        <v>0</v>
      </c>
      <c r="G39" s="119">
        <f t="shared" si="11"/>
        <v>0</v>
      </c>
      <c r="H39" s="79">
        <v>0</v>
      </c>
      <c r="I39" s="262">
        <f t="shared" si="12"/>
        <v>0</v>
      </c>
      <c r="J39" s="262">
        <f t="shared" si="13"/>
        <v>0</v>
      </c>
      <c r="K39" s="119">
        <f t="shared" si="14"/>
        <v>0</v>
      </c>
      <c r="L39" s="191"/>
      <c r="M39" s="191"/>
    </row>
    <row r="40" spans="2:13" x14ac:dyDescent="0.2">
      <c r="B40" s="308" t="s">
        <v>755</v>
      </c>
      <c r="C40" s="118" t="s">
        <v>82</v>
      </c>
      <c r="D40" s="79">
        <v>0</v>
      </c>
      <c r="E40" s="262">
        <f>$D40*'2.4 Indirect revenue'!$G$42</f>
        <v>0</v>
      </c>
      <c r="F40" s="262">
        <f>$D40*'2.4 Indirect revenue'!$H$42</f>
        <v>0</v>
      </c>
      <c r="G40" s="119">
        <f t="shared" si="11"/>
        <v>0</v>
      </c>
      <c r="H40" s="79">
        <v>0</v>
      </c>
      <c r="I40" s="262">
        <f t="shared" si="12"/>
        <v>0</v>
      </c>
      <c r="J40" s="262">
        <f t="shared" si="13"/>
        <v>0</v>
      </c>
      <c r="K40" s="119">
        <f t="shared" si="14"/>
        <v>0</v>
      </c>
      <c r="L40" s="191"/>
      <c r="M40" s="191"/>
    </row>
    <row r="41" spans="2:13" x14ac:dyDescent="0.2">
      <c r="B41" s="308" t="s">
        <v>755</v>
      </c>
      <c r="C41" s="194" t="s">
        <v>83</v>
      </c>
      <c r="D41" s="79">
        <v>0</v>
      </c>
      <c r="E41" s="262">
        <f>$D41*'2.4 Indirect revenue'!$G$42</f>
        <v>0</v>
      </c>
      <c r="F41" s="262">
        <f>$D41*'2.4 Indirect revenue'!$H$42</f>
        <v>0</v>
      </c>
      <c r="G41" s="119">
        <f t="shared" si="11"/>
        <v>0</v>
      </c>
      <c r="H41" s="79">
        <v>0</v>
      </c>
      <c r="I41" s="262">
        <f t="shared" si="12"/>
        <v>0</v>
      </c>
      <c r="J41" s="262">
        <f t="shared" si="13"/>
        <v>0</v>
      </c>
      <c r="K41" s="119">
        <f t="shared" si="14"/>
        <v>0</v>
      </c>
      <c r="L41" s="191"/>
      <c r="M41" s="191"/>
    </row>
    <row r="42" spans="2:13" x14ac:dyDescent="0.2">
      <c r="B42" s="308" t="s">
        <v>755</v>
      </c>
      <c r="C42" s="118" t="s">
        <v>84</v>
      </c>
      <c r="D42" s="79">
        <v>0</v>
      </c>
      <c r="E42" s="262">
        <f>$D42*'2.4 Indirect revenue'!$G$42</f>
        <v>0</v>
      </c>
      <c r="F42" s="262">
        <f>$D42*'2.4 Indirect revenue'!$H$42</f>
        <v>0</v>
      </c>
      <c r="G42" s="119">
        <f t="shared" si="11"/>
        <v>0</v>
      </c>
      <c r="H42" s="79">
        <v>0</v>
      </c>
      <c r="I42" s="262">
        <f t="shared" si="12"/>
        <v>0</v>
      </c>
      <c r="J42" s="262">
        <f t="shared" si="13"/>
        <v>0</v>
      </c>
      <c r="K42" s="119">
        <f t="shared" si="14"/>
        <v>0</v>
      </c>
      <c r="L42" s="191"/>
      <c r="M42" s="191"/>
    </row>
    <row r="43" spans="2:13" x14ac:dyDescent="0.2">
      <c r="B43" s="308" t="s">
        <v>755</v>
      </c>
      <c r="C43" s="118" t="s">
        <v>85</v>
      </c>
      <c r="D43" s="79">
        <v>0</v>
      </c>
      <c r="E43" s="262">
        <f>$D43*'2.4 Indirect revenue'!$G$42</f>
        <v>0</v>
      </c>
      <c r="F43" s="262">
        <f>$D43*'2.4 Indirect revenue'!$H$42</f>
        <v>0</v>
      </c>
      <c r="G43" s="119">
        <f t="shared" si="11"/>
        <v>0</v>
      </c>
      <c r="H43" s="79">
        <v>0</v>
      </c>
      <c r="I43" s="262">
        <f t="shared" si="12"/>
        <v>0</v>
      </c>
      <c r="J43" s="262">
        <f t="shared" si="13"/>
        <v>0</v>
      </c>
      <c r="K43" s="119">
        <f t="shared" si="14"/>
        <v>0</v>
      </c>
      <c r="L43" s="191"/>
      <c r="M43" s="191"/>
    </row>
    <row r="44" spans="2:13" x14ac:dyDescent="0.2">
      <c r="B44" s="308" t="s">
        <v>755</v>
      </c>
      <c r="C44" s="118" t="s">
        <v>86</v>
      </c>
      <c r="D44" s="79">
        <v>0</v>
      </c>
      <c r="E44" s="262">
        <f>$D44*'2.4 Indirect revenue'!$G$42</f>
        <v>0</v>
      </c>
      <c r="F44" s="262">
        <f>$D44*'2.4 Indirect revenue'!$H$42</f>
        <v>0</v>
      </c>
      <c r="G44" s="119">
        <f t="shared" si="11"/>
        <v>0</v>
      </c>
      <c r="H44" s="79">
        <v>0</v>
      </c>
      <c r="I44" s="262">
        <f t="shared" si="12"/>
        <v>0</v>
      </c>
      <c r="J44" s="262">
        <f t="shared" si="13"/>
        <v>0</v>
      </c>
      <c r="K44" s="119">
        <f t="shared" si="14"/>
        <v>0</v>
      </c>
      <c r="L44" s="191"/>
      <c r="M44" s="191"/>
    </row>
    <row r="45" spans="2:13" x14ac:dyDescent="0.2">
      <c r="B45" s="308" t="s">
        <v>755</v>
      </c>
      <c r="C45" s="118" t="s">
        <v>88</v>
      </c>
      <c r="D45" s="79">
        <v>0</v>
      </c>
      <c r="E45" s="262">
        <f>$D45*'2.4 Indirect revenue'!$G$42</f>
        <v>0</v>
      </c>
      <c r="F45" s="262">
        <f>$D45*'2.4 Indirect revenue'!$H$42</f>
        <v>0</v>
      </c>
      <c r="G45" s="119">
        <f t="shared" si="11"/>
        <v>0</v>
      </c>
      <c r="H45" s="79">
        <v>0</v>
      </c>
      <c r="I45" s="262">
        <f t="shared" si="12"/>
        <v>0</v>
      </c>
      <c r="J45" s="262">
        <f t="shared" si="13"/>
        <v>0</v>
      </c>
      <c r="K45" s="119">
        <f t="shared" si="14"/>
        <v>0</v>
      </c>
      <c r="L45" s="191"/>
      <c r="M45" s="191"/>
    </row>
    <row r="46" spans="2:13" x14ac:dyDescent="0.2">
      <c r="B46" s="308" t="s">
        <v>755</v>
      </c>
      <c r="C46" s="118" t="s">
        <v>90</v>
      </c>
      <c r="D46" s="79">
        <v>1</v>
      </c>
      <c r="E46" s="262">
        <f>$D46*'2.4 Indirect revenue'!$G$42</f>
        <v>1161765</v>
      </c>
      <c r="F46" s="262">
        <f>$D46*'2.4 Indirect revenue'!$H$42</f>
        <v>1321636.8753809268</v>
      </c>
      <c r="G46" s="119">
        <f t="shared" si="11"/>
        <v>2483401.8753809268</v>
      </c>
      <c r="H46" s="79">
        <v>1</v>
      </c>
      <c r="I46" s="262">
        <f t="shared" si="12"/>
        <v>773593</v>
      </c>
      <c r="J46" s="262">
        <f t="shared" si="13"/>
        <v>1023306.445192153</v>
      </c>
      <c r="K46" s="119">
        <f t="shared" si="14"/>
        <v>1796899.4451921531</v>
      </c>
      <c r="L46" s="191"/>
      <c r="M46" s="191"/>
    </row>
    <row r="47" spans="2:13" x14ac:dyDescent="0.2">
      <c r="B47" s="288"/>
      <c r="C47" s="186" t="s">
        <v>168</v>
      </c>
      <c r="D47" s="122">
        <f>SUM(D37:D46)</f>
        <v>1</v>
      </c>
      <c r="E47" s="120">
        <f>'2.1 Profit &amp; Loss by component'!D21</f>
        <v>1161765</v>
      </c>
      <c r="F47" s="120">
        <f>'2.1 Profit &amp; Loss by component'!E21</f>
        <v>1321636.8753809268</v>
      </c>
      <c r="G47" s="120">
        <f>SUM(G37:G46)</f>
        <v>2483401.8753809268</v>
      </c>
      <c r="H47" s="122">
        <f>SUM(H37:H46)</f>
        <v>1</v>
      </c>
      <c r="I47" s="120">
        <f>'2.1 Profit &amp; Loss by component'!G21</f>
        <v>773593</v>
      </c>
      <c r="J47" s="120">
        <f>'2.1 Profit &amp; Loss by component'!H21</f>
        <v>1023306.445192153</v>
      </c>
      <c r="K47" s="120">
        <f>SUM(K37:K46)</f>
        <v>1796899.4451921531</v>
      </c>
      <c r="L47" s="191"/>
      <c r="M47" s="191"/>
    </row>
    <row r="48" spans="2:13" ht="14.25" x14ac:dyDescent="0.2">
      <c r="B48" s="288"/>
      <c r="C48" s="186" t="s">
        <v>59</v>
      </c>
      <c r="D48" s="264"/>
      <c r="E48" s="120">
        <f>E47+E35+E23</f>
        <v>65006255.847619489</v>
      </c>
      <c r="F48" s="120">
        <f>F47+F35+F23</f>
        <v>1321636.8753809268</v>
      </c>
      <c r="G48" s="120">
        <f>G47+G35+G23</f>
        <v>66327892.723000415</v>
      </c>
      <c r="H48" s="264"/>
      <c r="I48" s="120">
        <f>I47+I35+I23</f>
        <v>63571425.873349421</v>
      </c>
      <c r="J48" s="120">
        <f>J47+J35+J23</f>
        <v>1023306.445192153</v>
      </c>
      <c r="K48" s="120">
        <f>K47+K35+K23</f>
        <v>64594732.318541571</v>
      </c>
      <c r="L48" s="191"/>
      <c r="M48" s="191"/>
    </row>
    <row r="49" spans="2:13" x14ac:dyDescent="0.2">
      <c r="B49" s="191"/>
      <c r="C49" s="191"/>
      <c r="D49" s="191"/>
      <c r="E49" s="191"/>
      <c r="F49" s="191"/>
      <c r="G49" s="191"/>
      <c r="H49" s="191"/>
      <c r="I49" s="191"/>
      <c r="J49" s="191"/>
      <c r="K49" s="191"/>
      <c r="L49" s="191"/>
      <c r="M49" s="191"/>
    </row>
    <row r="50" spans="2:13" ht="15.75" x14ac:dyDescent="0.2">
      <c r="B50" s="250" t="s">
        <v>169</v>
      </c>
      <c r="C50" s="191"/>
      <c r="D50" s="191"/>
      <c r="E50" s="191"/>
      <c r="F50" s="191"/>
      <c r="G50" s="191"/>
      <c r="H50" s="191"/>
      <c r="I50" s="191"/>
      <c r="J50" s="191"/>
      <c r="K50" s="191"/>
      <c r="L50" s="191"/>
      <c r="M50" s="191"/>
    </row>
    <row r="51" spans="2:13" x14ac:dyDescent="0.2">
      <c r="B51" s="251"/>
      <c r="C51" s="252"/>
      <c r="D51" s="253"/>
      <c r="E51" s="253"/>
      <c r="F51" s="253"/>
      <c r="G51" s="253"/>
      <c r="H51" s="253"/>
      <c r="I51" s="253"/>
      <c r="J51" s="253"/>
      <c r="K51" s="253"/>
      <c r="L51" s="191"/>
      <c r="M51" s="191"/>
    </row>
    <row r="52" spans="2:13" x14ac:dyDescent="0.2">
      <c r="B52" s="254"/>
      <c r="C52" s="254"/>
      <c r="D52" s="399" t="s">
        <v>161</v>
      </c>
      <c r="E52" s="400"/>
      <c r="F52" s="400"/>
      <c r="G52" s="401"/>
      <c r="H52" s="399" t="s">
        <v>123</v>
      </c>
      <c r="I52" s="400"/>
      <c r="J52" s="400"/>
      <c r="K52" s="401"/>
      <c r="L52" s="191"/>
      <c r="M52" s="191"/>
    </row>
    <row r="53" spans="2:13" ht="38.25" x14ac:dyDescent="0.2">
      <c r="B53" s="53" t="s">
        <v>112</v>
      </c>
      <c r="C53" s="254" t="s">
        <v>113</v>
      </c>
      <c r="D53" s="220" t="s">
        <v>162</v>
      </c>
      <c r="E53" s="220" t="s">
        <v>124</v>
      </c>
      <c r="F53" s="220" t="s">
        <v>125</v>
      </c>
      <c r="G53" s="220" t="s">
        <v>56</v>
      </c>
      <c r="H53" s="220" t="s">
        <v>162</v>
      </c>
      <c r="I53" s="220" t="s">
        <v>124</v>
      </c>
      <c r="J53" s="220" t="s">
        <v>125</v>
      </c>
      <c r="K53" s="220" t="s">
        <v>56</v>
      </c>
      <c r="L53" s="191"/>
      <c r="M53" s="191"/>
    </row>
    <row r="54" spans="2:13" x14ac:dyDescent="0.2">
      <c r="B54" s="53"/>
      <c r="C54" s="254"/>
      <c r="D54" s="117" t="s">
        <v>163</v>
      </c>
      <c r="E54" s="117" t="s">
        <v>115</v>
      </c>
      <c r="F54" s="117" t="s">
        <v>115</v>
      </c>
      <c r="G54" s="117" t="s">
        <v>115</v>
      </c>
      <c r="H54" s="117" t="s">
        <v>163</v>
      </c>
      <c r="I54" s="117" t="s">
        <v>115</v>
      </c>
      <c r="J54" s="117" t="s">
        <v>115</v>
      </c>
      <c r="K54" s="117" t="s">
        <v>115</v>
      </c>
      <c r="L54" s="191"/>
      <c r="M54" s="191"/>
    </row>
    <row r="55" spans="2:13" x14ac:dyDescent="0.2">
      <c r="B55" s="188"/>
      <c r="C55" s="261" t="s">
        <v>170</v>
      </c>
      <c r="D55" s="117"/>
      <c r="E55" s="117"/>
      <c r="F55" s="117"/>
      <c r="G55" s="117"/>
      <c r="H55" s="117"/>
      <c r="I55" s="117"/>
      <c r="J55" s="117"/>
      <c r="K55" s="117"/>
      <c r="L55" s="191"/>
      <c r="M55" s="191"/>
    </row>
    <row r="56" spans="2:13" x14ac:dyDescent="0.2">
      <c r="B56" s="308" t="s">
        <v>756</v>
      </c>
      <c r="C56" s="118" t="s">
        <v>78</v>
      </c>
      <c r="D56" s="79">
        <v>0.38650000000000001</v>
      </c>
      <c r="E56" s="262">
        <f t="shared" ref="E56:E65" si="15">D56*$E$66</f>
        <v>-4341008.1221102821</v>
      </c>
      <c r="F56" s="262">
        <f t="shared" ref="F56:F65" si="16">D56*$F$66</f>
        <v>-962715.57621851179</v>
      </c>
      <c r="G56" s="119">
        <f t="shared" ref="G56:G65" si="17">SUM(E56:F56)</f>
        <v>-5303723.698328794</v>
      </c>
      <c r="H56" s="79">
        <v>0.40499999999999997</v>
      </c>
      <c r="I56" s="262">
        <f t="shared" ref="I56:I65" si="18">H56*$I$66</f>
        <v>-4509225.8390532648</v>
      </c>
      <c r="J56" s="262">
        <f t="shared" ref="J56:J65" si="19">H56*$J$66</f>
        <v>-993045.34632860718</v>
      </c>
      <c r="K56" s="119">
        <f t="shared" ref="K56:K65" si="20">SUM(I56:J56)</f>
        <v>-5502271.1853818716</v>
      </c>
      <c r="L56" s="191"/>
      <c r="M56" s="191"/>
    </row>
    <row r="57" spans="2:13" x14ac:dyDescent="0.2">
      <c r="B57" s="307" t="s">
        <v>756</v>
      </c>
      <c r="C57" s="118" t="s">
        <v>80</v>
      </c>
      <c r="D57" s="79">
        <v>1.5E-3</v>
      </c>
      <c r="E57" s="262">
        <f t="shared" si="15"/>
        <v>-16847.379516598765</v>
      </c>
      <c r="F57" s="262">
        <f t="shared" si="16"/>
        <v>-3736.2829607445478</v>
      </c>
      <c r="G57" s="119">
        <f t="shared" si="17"/>
        <v>-20583.662477343314</v>
      </c>
      <c r="H57" s="79">
        <v>1.2999999999999999E-3</v>
      </c>
      <c r="I57" s="262">
        <f t="shared" si="18"/>
        <v>-14474.058248812949</v>
      </c>
      <c r="J57" s="262">
        <f t="shared" si="19"/>
        <v>-3187.5529635239241</v>
      </c>
      <c r="K57" s="119">
        <f t="shared" si="20"/>
        <v>-17661.611212336873</v>
      </c>
      <c r="L57" s="191"/>
      <c r="M57" s="191"/>
    </row>
    <row r="58" spans="2:13" x14ac:dyDescent="0.2">
      <c r="B58" s="307" t="s">
        <v>756</v>
      </c>
      <c r="C58" s="118" t="s">
        <v>81</v>
      </c>
      <c r="D58" s="79">
        <v>4.1599999999999998E-2</v>
      </c>
      <c r="E58" s="262">
        <f t="shared" si="15"/>
        <v>-467233.9919270057</v>
      </c>
      <c r="F58" s="262">
        <f t="shared" si="16"/>
        <v>-103619.58077798212</v>
      </c>
      <c r="G58" s="119">
        <f t="shared" si="17"/>
        <v>-570853.57270498783</v>
      </c>
      <c r="H58" s="79">
        <v>4.6300000000000001E-2</v>
      </c>
      <c r="I58" s="262">
        <f t="shared" si="18"/>
        <v>-515499.15147695359</v>
      </c>
      <c r="J58" s="262">
        <f t="shared" si="19"/>
        <v>-113525.92477781362</v>
      </c>
      <c r="K58" s="119">
        <f t="shared" si="20"/>
        <v>-629025.07625476725</v>
      </c>
      <c r="L58" s="191"/>
      <c r="M58" s="191"/>
    </row>
    <row r="59" spans="2:13" x14ac:dyDescent="0.2">
      <c r="B59" s="307" t="s">
        <v>756</v>
      </c>
      <c r="C59" s="118" t="s">
        <v>82</v>
      </c>
      <c r="D59" s="79">
        <v>0</v>
      </c>
      <c r="E59" s="262">
        <f t="shared" si="15"/>
        <v>0</v>
      </c>
      <c r="F59" s="262">
        <f t="shared" si="16"/>
        <v>0</v>
      </c>
      <c r="G59" s="119">
        <f t="shared" si="17"/>
        <v>0</v>
      </c>
      <c r="H59" s="79">
        <v>0</v>
      </c>
      <c r="I59" s="262">
        <f t="shared" si="18"/>
        <v>0</v>
      </c>
      <c r="J59" s="262">
        <f t="shared" si="19"/>
        <v>0</v>
      </c>
      <c r="K59" s="119">
        <f t="shared" si="20"/>
        <v>0</v>
      </c>
      <c r="L59" s="191"/>
      <c r="M59" s="191"/>
    </row>
    <row r="60" spans="2:13" x14ac:dyDescent="0.2">
      <c r="B60" s="307" t="s">
        <v>756</v>
      </c>
      <c r="C60" s="194" t="s">
        <v>83</v>
      </c>
      <c r="D60" s="79">
        <v>0</v>
      </c>
      <c r="E60" s="262">
        <f t="shared" si="15"/>
        <v>0</v>
      </c>
      <c r="F60" s="262">
        <f t="shared" si="16"/>
        <v>0</v>
      </c>
      <c r="G60" s="119">
        <f t="shared" si="17"/>
        <v>0</v>
      </c>
      <c r="H60" s="79">
        <v>0</v>
      </c>
      <c r="I60" s="262">
        <f t="shared" si="18"/>
        <v>0</v>
      </c>
      <c r="J60" s="262">
        <f t="shared" si="19"/>
        <v>0</v>
      </c>
      <c r="K60" s="119">
        <f t="shared" si="20"/>
        <v>0</v>
      </c>
      <c r="L60" s="191"/>
      <c r="M60" s="191"/>
    </row>
    <row r="61" spans="2:13" x14ac:dyDescent="0.2">
      <c r="B61" s="307" t="s">
        <v>756</v>
      </c>
      <c r="C61" s="118" t="s">
        <v>84</v>
      </c>
      <c r="D61" s="79">
        <v>0.44109999999999999</v>
      </c>
      <c r="E61" s="262">
        <f t="shared" si="15"/>
        <v>-4954252.7365144771</v>
      </c>
      <c r="F61" s="262">
        <f t="shared" si="16"/>
        <v>-1098716.2759896133</v>
      </c>
      <c r="G61" s="119">
        <f t="shared" si="17"/>
        <v>-6052969.0125040906</v>
      </c>
      <c r="H61" s="79">
        <v>0.43690000000000001</v>
      </c>
      <c r="I61" s="262">
        <f t="shared" si="18"/>
        <v>-4864396.9606972141</v>
      </c>
      <c r="J61" s="262">
        <f t="shared" si="19"/>
        <v>-1071262.9921258481</v>
      </c>
      <c r="K61" s="119">
        <f t="shared" si="20"/>
        <v>-5935659.9528230624</v>
      </c>
      <c r="L61" s="191"/>
      <c r="M61" s="191"/>
    </row>
    <row r="62" spans="2:13" x14ac:dyDescent="0.2">
      <c r="B62" s="307" t="s">
        <v>756</v>
      </c>
      <c r="C62" s="118" t="s">
        <v>85</v>
      </c>
      <c r="D62" s="79">
        <v>0</v>
      </c>
      <c r="E62" s="262">
        <f t="shared" si="15"/>
        <v>0</v>
      </c>
      <c r="F62" s="262">
        <f t="shared" si="16"/>
        <v>0</v>
      </c>
      <c r="G62" s="119">
        <f t="shared" si="17"/>
        <v>0</v>
      </c>
      <c r="H62" s="79">
        <v>0</v>
      </c>
      <c r="I62" s="262">
        <f t="shared" si="18"/>
        <v>0</v>
      </c>
      <c r="J62" s="262">
        <f t="shared" si="19"/>
        <v>0</v>
      </c>
      <c r="K62" s="119">
        <f t="shared" si="20"/>
        <v>0</v>
      </c>
      <c r="L62" s="191"/>
      <c r="M62" s="191"/>
    </row>
    <row r="63" spans="2:13" x14ac:dyDescent="0.2">
      <c r="B63" s="307" t="s">
        <v>756</v>
      </c>
      <c r="C63" s="118" t="s">
        <v>86</v>
      </c>
      <c r="D63" s="79">
        <v>0</v>
      </c>
      <c r="E63" s="262">
        <f t="shared" si="15"/>
        <v>0</v>
      </c>
      <c r="F63" s="262">
        <f t="shared" si="16"/>
        <v>0</v>
      </c>
      <c r="G63" s="119">
        <f t="shared" si="17"/>
        <v>0</v>
      </c>
      <c r="H63" s="79">
        <v>0</v>
      </c>
      <c r="I63" s="262">
        <f t="shared" si="18"/>
        <v>0</v>
      </c>
      <c r="J63" s="262">
        <f t="shared" si="19"/>
        <v>0</v>
      </c>
      <c r="K63" s="119">
        <f t="shared" si="20"/>
        <v>0</v>
      </c>
      <c r="L63" s="191"/>
      <c r="M63" s="191"/>
    </row>
    <row r="64" spans="2:13" x14ac:dyDescent="0.2">
      <c r="B64" s="307" t="s">
        <v>756</v>
      </c>
      <c r="C64" s="118" t="s">
        <v>88</v>
      </c>
      <c r="D64" s="79">
        <v>0</v>
      </c>
      <c r="E64" s="262">
        <f t="shared" si="15"/>
        <v>0</v>
      </c>
      <c r="F64" s="262">
        <f t="shared" si="16"/>
        <v>0</v>
      </c>
      <c r="G64" s="119">
        <f t="shared" si="17"/>
        <v>0</v>
      </c>
      <c r="H64" s="79">
        <v>0</v>
      </c>
      <c r="I64" s="262">
        <f t="shared" si="18"/>
        <v>0</v>
      </c>
      <c r="J64" s="262">
        <f t="shared" si="19"/>
        <v>0</v>
      </c>
      <c r="K64" s="119">
        <f t="shared" si="20"/>
        <v>0</v>
      </c>
      <c r="L64" s="191"/>
      <c r="M64" s="191"/>
    </row>
    <row r="65" spans="2:13" x14ac:dyDescent="0.2">
      <c r="B65" s="307" t="s">
        <v>756</v>
      </c>
      <c r="C65" s="118" t="s">
        <v>90</v>
      </c>
      <c r="D65" s="79">
        <v>0.1293</v>
      </c>
      <c r="E65" s="262">
        <f t="shared" si="15"/>
        <v>-1452244.1143308135</v>
      </c>
      <c r="F65" s="262">
        <f t="shared" si="16"/>
        <v>-322067.59121618001</v>
      </c>
      <c r="G65" s="119">
        <f t="shared" si="17"/>
        <v>-1774311.7055469935</v>
      </c>
      <c r="H65" s="79">
        <v>0.11049999999999999</v>
      </c>
      <c r="I65" s="262">
        <f t="shared" si="18"/>
        <v>-1230294.9511491007</v>
      </c>
      <c r="J65" s="262">
        <f t="shared" si="19"/>
        <v>-270942.00189953356</v>
      </c>
      <c r="K65" s="119">
        <f t="shared" si="20"/>
        <v>-1501236.9530486343</v>
      </c>
      <c r="L65" s="191"/>
      <c r="M65" s="191"/>
    </row>
    <row r="66" spans="2:13" x14ac:dyDescent="0.2">
      <c r="B66" s="288"/>
      <c r="C66" s="186" t="s">
        <v>171</v>
      </c>
      <c r="D66" s="122">
        <f>SUM(D56:D65)</f>
        <v>1</v>
      </c>
      <c r="E66" s="120">
        <f>'2.1 Profit &amp; Loss by component'!D32-'2.1 Profit &amp; Loss by component'!D26</f>
        <v>-11231586.344399177</v>
      </c>
      <c r="F66" s="120">
        <f>'2.1 Profit &amp; Loss by component'!E32-'2.1 Profit &amp; Loss by component'!E26</f>
        <v>-2490855.3071630318</v>
      </c>
      <c r="G66" s="120">
        <f>SUM(G56:G65)</f>
        <v>-13722441.65156221</v>
      </c>
      <c r="H66" s="122">
        <f>SUM(H56:H65)</f>
        <v>1</v>
      </c>
      <c r="I66" s="120">
        <f>'2.1 Profit &amp; Loss by component'!G32-'2.1 Profit &amp; Loss by component'!G26</f>
        <v>-11133890.960625347</v>
      </c>
      <c r="J66" s="120">
        <f>'2.1 Profit &amp; Loss by component'!H32-'2.1 Profit &amp; Loss by component'!H26</f>
        <v>-2451963.8180953264</v>
      </c>
      <c r="K66" s="120">
        <f>SUM(K56:K65)</f>
        <v>-13585854.778720673</v>
      </c>
      <c r="L66" s="191"/>
      <c r="M66" s="191"/>
    </row>
    <row r="67" spans="2:13" x14ac:dyDescent="0.2">
      <c r="B67" s="188"/>
      <c r="C67" s="261" t="s">
        <v>172</v>
      </c>
      <c r="D67" s="117"/>
      <c r="E67" s="117"/>
      <c r="F67" s="117"/>
      <c r="G67" s="117"/>
      <c r="H67" s="117"/>
      <c r="I67" s="117"/>
      <c r="J67" s="117"/>
      <c r="K67" s="117"/>
      <c r="L67" s="191"/>
      <c r="M67" s="191"/>
    </row>
    <row r="68" spans="2:13" x14ac:dyDescent="0.2">
      <c r="B68" s="307" t="s">
        <v>757</v>
      </c>
      <c r="C68" s="118" t="s">
        <v>78</v>
      </c>
      <c r="D68" s="79">
        <v>0.38650000000000001</v>
      </c>
      <c r="E68" s="262">
        <f t="shared" ref="E68:E77" si="21">D68*$E$78</f>
        <v>-4495696.2284960002</v>
      </c>
      <c r="F68" s="262">
        <f t="shared" ref="F68:F77" si="22">D68*$F$78</f>
        <v>0</v>
      </c>
      <c r="G68" s="119">
        <f t="shared" ref="G68:G77" si="23">SUM(E68:F68)</f>
        <v>-4495696.2284960002</v>
      </c>
      <c r="H68" s="79">
        <v>0.40499999999999997</v>
      </c>
      <c r="I68" s="262">
        <f t="shared" ref="I68:I77" si="24">H68*$I$78</f>
        <v>-4695483.8660984999</v>
      </c>
      <c r="J68" s="262">
        <f t="shared" ref="J68:J77" si="25">H68*$J$78</f>
        <v>0</v>
      </c>
      <c r="K68" s="119">
        <f t="shared" ref="K68:K77" si="26">SUM(I68:J68)</f>
        <v>-4695483.8660984999</v>
      </c>
      <c r="L68" s="191"/>
      <c r="M68" s="191"/>
    </row>
    <row r="69" spans="2:13" x14ac:dyDescent="0.2">
      <c r="B69" s="307" t="s">
        <v>757</v>
      </c>
      <c r="C69" s="118" t="s">
        <v>80</v>
      </c>
      <c r="D69" s="79">
        <v>1.5E-3</v>
      </c>
      <c r="E69" s="262">
        <f t="shared" si="21"/>
        <v>-17447.721455999999</v>
      </c>
      <c r="F69" s="262">
        <f t="shared" si="22"/>
        <v>0</v>
      </c>
      <c r="G69" s="119">
        <f t="shared" si="23"/>
        <v>-17447.721455999999</v>
      </c>
      <c r="H69" s="79">
        <v>1.2999999999999999E-3</v>
      </c>
      <c r="I69" s="262">
        <f t="shared" si="24"/>
        <v>-15071.923520809998</v>
      </c>
      <c r="J69" s="262">
        <f t="shared" si="25"/>
        <v>0</v>
      </c>
      <c r="K69" s="119">
        <f t="shared" si="26"/>
        <v>-15071.923520809998</v>
      </c>
      <c r="L69" s="191"/>
      <c r="M69" s="191"/>
    </row>
    <row r="70" spans="2:13" x14ac:dyDescent="0.2">
      <c r="B70" s="307" t="s">
        <v>757</v>
      </c>
      <c r="C70" s="118" t="s">
        <v>81</v>
      </c>
      <c r="D70" s="79">
        <v>4.1599999999999998E-2</v>
      </c>
      <c r="E70" s="262">
        <f t="shared" si="21"/>
        <v>-483883.47504639998</v>
      </c>
      <c r="F70" s="262">
        <f t="shared" si="22"/>
        <v>0</v>
      </c>
      <c r="G70" s="119">
        <f t="shared" si="23"/>
        <v>-483883.47504639998</v>
      </c>
      <c r="H70" s="79">
        <v>4.6300000000000001E-2</v>
      </c>
      <c r="I70" s="262">
        <f t="shared" si="24"/>
        <v>-536792.35308730998</v>
      </c>
      <c r="J70" s="262">
        <f t="shared" si="25"/>
        <v>0</v>
      </c>
      <c r="K70" s="119">
        <f t="shared" si="26"/>
        <v>-536792.35308730998</v>
      </c>
      <c r="L70" s="191"/>
      <c r="M70" s="191"/>
    </row>
    <row r="71" spans="2:13" x14ac:dyDescent="0.2">
      <c r="B71" s="307" t="s">
        <v>757</v>
      </c>
      <c r="C71" s="118" t="s">
        <v>82</v>
      </c>
      <c r="D71" s="79">
        <v>0</v>
      </c>
      <c r="E71" s="262">
        <f t="shared" si="21"/>
        <v>0</v>
      </c>
      <c r="F71" s="262">
        <f t="shared" si="22"/>
        <v>0</v>
      </c>
      <c r="G71" s="119">
        <f t="shared" si="23"/>
        <v>0</v>
      </c>
      <c r="H71" s="79">
        <v>0</v>
      </c>
      <c r="I71" s="262">
        <f t="shared" si="24"/>
        <v>0</v>
      </c>
      <c r="J71" s="262">
        <f t="shared" si="25"/>
        <v>0</v>
      </c>
      <c r="K71" s="119">
        <f t="shared" si="26"/>
        <v>0</v>
      </c>
      <c r="L71" s="191"/>
      <c r="M71" s="191"/>
    </row>
    <row r="72" spans="2:13" x14ac:dyDescent="0.2">
      <c r="B72" s="307" t="s">
        <v>757</v>
      </c>
      <c r="C72" s="194" t="s">
        <v>83</v>
      </c>
      <c r="D72" s="79">
        <v>0</v>
      </c>
      <c r="E72" s="262">
        <f t="shared" si="21"/>
        <v>0</v>
      </c>
      <c r="F72" s="262">
        <f t="shared" si="22"/>
        <v>0</v>
      </c>
      <c r="G72" s="119">
        <f t="shared" si="23"/>
        <v>0</v>
      </c>
      <c r="H72" s="79">
        <v>0</v>
      </c>
      <c r="I72" s="262">
        <f t="shared" si="24"/>
        <v>0</v>
      </c>
      <c r="J72" s="262">
        <f t="shared" si="25"/>
        <v>0</v>
      </c>
      <c r="K72" s="119">
        <f t="shared" si="26"/>
        <v>0</v>
      </c>
      <c r="L72" s="191"/>
      <c r="M72" s="191"/>
    </row>
    <row r="73" spans="2:13" x14ac:dyDescent="0.2">
      <c r="B73" s="307" t="s">
        <v>757</v>
      </c>
      <c r="C73" s="118" t="s">
        <v>84</v>
      </c>
      <c r="D73" s="79">
        <v>0.44109999999999999</v>
      </c>
      <c r="E73" s="262">
        <f t="shared" si="21"/>
        <v>-5130793.2894943999</v>
      </c>
      <c r="F73" s="262">
        <f t="shared" si="22"/>
        <v>0</v>
      </c>
      <c r="G73" s="119">
        <f t="shared" si="23"/>
        <v>-5130793.2894943999</v>
      </c>
      <c r="H73" s="79">
        <v>0.43690000000000001</v>
      </c>
      <c r="I73" s="262">
        <f t="shared" si="24"/>
        <v>-5065325.6817245297</v>
      </c>
      <c r="J73" s="262">
        <f t="shared" si="25"/>
        <v>0</v>
      </c>
      <c r="K73" s="119">
        <f t="shared" si="26"/>
        <v>-5065325.6817245297</v>
      </c>
      <c r="L73" s="191"/>
      <c r="M73" s="191"/>
    </row>
    <row r="74" spans="2:13" x14ac:dyDescent="0.2">
      <c r="B74" s="307" t="s">
        <v>757</v>
      </c>
      <c r="C74" s="118" t="s">
        <v>85</v>
      </c>
      <c r="D74" s="79">
        <v>0</v>
      </c>
      <c r="E74" s="262">
        <f t="shared" si="21"/>
        <v>0</v>
      </c>
      <c r="F74" s="262">
        <f t="shared" si="22"/>
        <v>0</v>
      </c>
      <c r="G74" s="119">
        <f t="shared" si="23"/>
        <v>0</v>
      </c>
      <c r="H74" s="79">
        <v>0</v>
      </c>
      <c r="I74" s="262">
        <f t="shared" si="24"/>
        <v>0</v>
      </c>
      <c r="J74" s="262">
        <f t="shared" si="25"/>
        <v>0</v>
      </c>
      <c r="K74" s="119">
        <f t="shared" si="26"/>
        <v>0</v>
      </c>
      <c r="L74" s="191"/>
      <c r="M74" s="191"/>
    </row>
    <row r="75" spans="2:13" x14ac:dyDescent="0.2">
      <c r="B75" s="307" t="s">
        <v>757</v>
      </c>
      <c r="C75" s="118" t="s">
        <v>86</v>
      </c>
      <c r="D75" s="79">
        <v>0</v>
      </c>
      <c r="E75" s="262">
        <f t="shared" si="21"/>
        <v>0</v>
      </c>
      <c r="F75" s="262">
        <f t="shared" si="22"/>
        <v>0</v>
      </c>
      <c r="G75" s="119">
        <f t="shared" si="23"/>
        <v>0</v>
      </c>
      <c r="H75" s="79">
        <v>0</v>
      </c>
      <c r="I75" s="262">
        <f t="shared" si="24"/>
        <v>0</v>
      </c>
      <c r="J75" s="262">
        <f t="shared" si="25"/>
        <v>0</v>
      </c>
      <c r="K75" s="119">
        <f t="shared" si="26"/>
        <v>0</v>
      </c>
      <c r="L75" s="191"/>
      <c r="M75" s="191"/>
    </row>
    <row r="76" spans="2:13" x14ac:dyDescent="0.2">
      <c r="B76" s="307" t="s">
        <v>757</v>
      </c>
      <c r="C76" s="118" t="s">
        <v>88</v>
      </c>
      <c r="D76" s="79">
        <v>0</v>
      </c>
      <c r="E76" s="262">
        <f t="shared" si="21"/>
        <v>0</v>
      </c>
      <c r="F76" s="262">
        <f t="shared" si="22"/>
        <v>0</v>
      </c>
      <c r="G76" s="119">
        <f t="shared" si="23"/>
        <v>0</v>
      </c>
      <c r="H76" s="79">
        <v>0</v>
      </c>
      <c r="I76" s="262">
        <f t="shared" si="24"/>
        <v>0</v>
      </c>
      <c r="J76" s="262">
        <f t="shared" si="25"/>
        <v>0</v>
      </c>
      <c r="K76" s="119">
        <f t="shared" si="26"/>
        <v>0</v>
      </c>
      <c r="L76" s="191"/>
      <c r="M76" s="191"/>
    </row>
    <row r="77" spans="2:13" x14ac:dyDescent="0.2">
      <c r="B77" s="307" t="s">
        <v>757</v>
      </c>
      <c r="C77" s="118" t="s">
        <v>90</v>
      </c>
      <c r="D77" s="79">
        <v>0.1293</v>
      </c>
      <c r="E77" s="262">
        <f t="shared" si="21"/>
        <v>-1503993.5895071998</v>
      </c>
      <c r="F77" s="262">
        <f t="shared" si="22"/>
        <v>0</v>
      </c>
      <c r="G77" s="119">
        <f t="shared" si="23"/>
        <v>-1503993.5895071998</v>
      </c>
      <c r="H77" s="79">
        <v>0.11049999999999999</v>
      </c>
      <c r="I77" s="262">
        <f t="shared" si="24"/>
        <v>-1281113.4992688498</v>
      </c>
      <c r="J77" s="262">
        <f t="shared" si="25"/>
        <v>0</v>
      </c>
      <c r="K77" s="119">
        <f t="shared" si="26"/>
        <v>-1281113.4992688498</v>
      </c>
      <c r="L77" s="191"/>
      <c r="M77" s="191"/>
    </row>
    <row r="78" spans="2:13" x14ac:dyDescent="0.2">
      <c r="B78" s="288"/>
      <c r="C78" s="186" t="s">
        <v>173</v>
      </c>
      <c r="D78" s="122">
        <f>SUM(D68:D77)</f>
        <v>1</v>
      </c>
      <c r="E78" s="120">
        <f>'2.1 Profit &amp; Loss by component'!D26+'2.1 Profit &amp; Loss by component'!D37</f>
        <v>-11631814.304</v>
      </c>
      <c r="F78" s="121">
        <f>'2.1 Profit &amp; Loss by component'!E26+'2.1 Profit &amp; Loss by component'!E37</f>
        <v>0</v>
      </c>
      <c r="G78" s="120">
        <f>SUM(G68:G77)</f>
        <v>-11631814.304</v>
      </c>
      <c r="H78" s="122">
        <f>SUM(H68:H77)</f>
        <v>1</v>
      </c>
      <c r="I78" s="120">
        <f>'2.1 Profit &amp; Loss by component'!G26+'2.1 Profit &amp; Loss by component'!G37</f>
        <v>-11593787.3237</v>
      </c>
      <c r="J78" s="120">
        <f>'2.1 Profit &amp; Loss by component'!H26+'2.1 Profit &amp; Loss by component'!H37</f>
        <v>0</v>
      </c>
      <c r="K78" s="120">
        <f>SUM(K68:K77)</f>
        <v>-11593787.3237</v>
      </c>
      <c r="L78" s="191"/>
      <c r="M78" s="191"/>
    </row>
    <row r="79" spans="2:13" x14ac:dyDescent="0.2">
      <c r="B79" s="188"/>
      <c r="C79" s="261" t="s">
        <v>174</v>
      </c>
      <c r="D79" s="117"/>
      <c r="E79" s="117"/>
      <c r="F79" s="117"/>
      <c r="G79" s="117"/>
      <c r="H79" s="117"/>
      <c r="I79" s="117"/>
      <c r="J79" s="117"/>
      <c r="K79" s="117"/>
      <c r="L79" s="191"/>
      <c r="M79" s="191"/>
    </row>
    <row r="80" spans="2:13" x14ac:dyDescent="0.2">
      <c r="B80" s="307" t="s">
        <v>758</v>
      </c>
      <c r="C80" s="118" t="s">
        <v>78</v>
      </c>
      <c r="D80" s="79">
        <v>0.38650000000000001</v>
      </c>
      <c r="E80" s="262">
        <f t="shared" ref="E80:E89" si="27">D80*$E$90</f>
        <v>-2543370.0861654133</v>
      </c>
      <c r="F80" s="262">
        <f t="shared" ref="F80:F89" si="28">D80*$F$90</f>
        <v>0</v>
      </c>
      <c r="G80" s="119">
        <f t="shared" ref="G80:G89" si="29">SUM(E80:F80)</f>
        <v>-2543370.0861654133</v>
      </c>
      <c r="H80" s="79">
        <v>0.40499999999999997</v>
      </c>
      <c r="I80" s="262">
        <f t="shared" ref="I80:I89" si="30">H80*$I$90</f>
        <v>-2515498.0868926919</v>
      </c>
      <c r="J80" s="262">
        <f t="shared" ref="J80:J89" si="31">H80*$J$90</f>
        <v>0</v>
      </c>
      <c r="K80" s="119">
        <f t="shared" ref="K80:K89" si="32">SUM(I80:J80)</f>
        <v>-2515498.0868926919</v>
      </c>
      <c r="L80" s="191"/>
      <c r="M80" s="191"/>
    </row>
    <row r="81" spans="2:13" x14ac:dyDescent="0.2">
      <c r="B81" s="307" t="s">
        <v>758</v>
      </c>
      <c r="C81" s="118" t="s">
        <v>80</v>
      </c>
      <c r="D81" s="79">
        <v>1.5E-3</v>
      </c>
      <c r="E81" s="262">
        <f t="shared" si="27"/>
        <v>-9870.7765310430004</v>
      </c>
      <c r="F81" s="262">
        <f t="shared" si="28"/>
        <v>0</v>
      </c>
      <c r="G81" s="119">
        <f t="shared" si="29"/>
        <v>-9870.7765310430004</v>
      </c>
      <c r="H81" s="79">
        <v>1.2999999999999999E-3</v>
      </c>
      <c r="I81" s="262">
        <f t="shared" si="30"/>
        <v>-8074.4383036061727</v>
      </c>
      <c r="J81" s="262">
        <f t="shared" si="31"/>
        <v>0</v>
      </c>
      <c r="K81" s="119">
        <f t="shared" si="32"/>
        <v>-8074.4383036061727</v>
      </c>
      <c r="L81" s="191"/>
      <c r="M81" s="191"/>
    </row>
    <row r="82" spans="2:13" x14ac:dyDescent="0.2">
      <c r="B82" s="307" t="s">
        <v>758</v>
      </c>
      <c r="C82" s="118" t="s">
        <v>81</v>
      </c>
      <c r="D82" s="79">
        <v>4.1599999999999998E-2</v>
      </c>
      <c r="E82" s="262">
        <f t="shared" si="27"/>
        <v>-273749.53579425922</v>
      </c>
      <c r="F82" s="262">
        <f t="shared" si="28"/>
        <v>0</v>
      </c>
      <c r="G82" s="119">
        <f t="shared" si="29"/>
        <v>-273749.53579425922</v>
      </c>
      <c r="H82" s="79">
        <v>4.6300000000000001E-2</v>
      </c>
      <c r="I82" s="262">
        <f t="shared" si="30"/>
        <v>-287574.22573612753</v>
      </c>
      <c r="J82" s="262">
        <f t="shared" si="31"/>
        <v>0</v>
      </c>
      <c r="K82" s="119">
        <f t="shared" si="32"/>
        <v>-287574.22573612753</v>
      </c>
      <c r="L82" s="191"/>
      <c r="M82" s="191"/>
    </row>
    <row r="83" spans="2:13" x14ac:dyDescent="0.2">
      <c r="B83" s="307" t="s">
        <v>758</v>
      </c>
      <c r="C83" s="118" t="s">
        <v>82</v>
      </c>
      <c r="D83" s="79">
        <v>0</v>
      </c>
      <c r="E83" s="262">
        <f t="shared" si="27"/>
        <v>0</v>
      </c>
      <c r="F83" s="262">
        <f t="shared" si="28"/>
        <v>0</v>
      </c>
      <c r="G83" s="119">
        <f t="shared" si="29"/>
        <v>0</v>
      </c>
      <c r="H83" s="79">
        <v>0</v>
      </c>
      <c r="I83" s="262">
        <f t="shared" si="30"/>
        <v>0</v>
      </c>
      <c r="J83" s="262">
        <f t="shared" si="31"/>
        <v>0</v>
      </c>
      <c r="K83" s="119">
        <f t="shared" si="32"/>
        <v>0</v>
      </c>
      <c r="L83" s="191"/>
      <c r="M83" s="191"/>
    </row>
    <row r="84" spans="2:13" x14ac:dyDescent="0.2">
      <c r="B84" s="307" t="s">
        <v>758</v>
      </c>
      <c r="C84" s="194" t="s">
        <v>83</v>
      </c>
      <c r="D84" s="79">
        <v>0</v>
      </c>
      <c r="E84" s="262">
        <f t="shared" si="27"/>
        <v>0</v>
      </c>
      <c r="F84" s="262">
        <f t="shared" si="28"/>
        <v>0</v>
      </c>
      <c r="G84" s="119">
        <f t="shared" si="29"/>
        <v>0</v>
      </c>
      <c r="H84" s="79">
        <v>0</v>
      </c>
      <c r="I84" s="262">
        <f t="shared" si="30"/>
        <v>0</v>
      </c>
      <c r="J84" s="262">
        <f t="shared" si="31"/>
        <v>0</v>
      </c>
      <c r="K84" s="119">
        <f t="shared" si="32"/>
        <v>0</v>
      </c>
      <c r="L84" s="191"/>
      <c r="M84" s="191"/>
    </row>
    <row r="85" spans="2:13" x14ac:dyDescent="0.2">
      <c r="B85" s="307" t="s">
        <v>758</v>
      </c>
      <c r="C85" s="118" t="s">
        <v>84</v>
      </c>
      <c r="D85" s="79">
        <v>0.44109999999999999</v>
      </c>
      <c r="E85" s="262">
        <f t="shared" si="27"/>
        <v>-2902666.3518953784</v>
      </c>
      <c r="F85" s="262">
        <f t="shared" si="28"/>
        <v>0</v>
      </c>
      <c r="G85" s="119">
        <f t="shared" si="29"/>
        <v>-2902666.3518953784</v>
      </c>
      <c r="H85" s="79">
        <v>0.43690000000000001</v>
      </c>
      <c r="I85" s="262">
        <f t="shared" si="30"/>
        <v>-2713632.3806504132</v>
      </c>
      <c r="J85" s="262">
        <f t="shared" si="31"/>
        <v>0</v>
      </c>
      <c r="K85" s="119">
        <f t="shared" si="32"/>
        <v>-2713632.3806504132</v>
      </c>
      <c r="L85" s="191"/>
      <c r="M85" s="191"/>
    </row>
    <row r="86" spans="2:13" x14ac:dyDescent="0.2">
      <c r="B86" s="307" t="s">
        <v>758</v>
      </c>
      <c r="C86" s="118" t="s">
        <v>85</v>
      </c>
      <c r="D86" s="79">
        <v>0</v>
      </c>
      <c r="E86" s="262">
        <f t="shared" si="27"/>
        <v>0</v>
      </c>
      <c r="F86" s="262">
        <f t="shared" si="28"/>
        <v>0</v>
      </c>
      <c r="G86" s="119">
        <f t="shared" si="29"/>
        <v>0</v>
      </c>
      <c r="H86" s="79">
        <v>0</v>
      </c>
      <c r="I86" s="262">
        <f t="shared" si="30"/>
        <v>0</v>
      </c>
      <c r="J86" s="262">
        <f t="shared" si="31"/>
        <v>0</v>
      </c>
      <c r="K86" s="119">
        <f t="shared" si="32"/>
        <v>0</v>
      </c>
      <c r="L86" s="191"/>
      <c r="M86" s="191"/>
    </row>
    <row r="87" spans="2:13" x14ac:dyDescent="0.2">
      <c r="B87" s="307" t="s">
        <v>758</v>
      </c>
      <c r="C87" s="118" t="s">
        <v>86</v>
      </c>
      <c r="D87" s="79">
        <v>0</v>
      </c>
      <c r="E87" s="262">
        <f t="shared" si="27"/>
        <v>0</v>
      </c>
      <c r="F87" s="262">
        <f t="shared" si="28"/>
        <v>0</v>
      </c>
      <c r="G87" s="119">
        <f t="shared" si="29"/>
        <v>0</v>
      </c>
      <c r="H87" s="79">
        <v>0</v>
      </c>
      <c r="I87" s="262">
        <f t="shared" si="30"/>
        <v>0</v>
      </c>
      <c r="J87" s="262">
        <f t="shared" si="31"/>
        <v>0</v>
      </c>
      <c r="K87" s="119">
        <f t="shared" si="32"/>
        <v>0</v>
      </c>
      <c r="L87" s="191"/>
      <c r="M87" s="191"/>
    </row>
    <row r="88" spans="2:13" x14ac:dyDescent="0.2">
      <c r="B88" s="307" t="s">
        <v>758</v>
      </c>
      <c r="C88" s="118" t="s">
        <v>88</v>
      </c>
      <c r="D88" s="79">
        <v>0</v>
      </c>
      <c r="E88" s="262">
        <f t="shared" si="27"/>
        <v>0</v>
      </c>
      <c r="F88" s="262">
        <f t="shared" si="28"/>
        <v>0</v>
      </c>
      <c r="G88" s="119">
        <f t="shared" si="29"/>
        <v>0</v>
      </c>
      <c r="H88" s="79">
        <v>0</v>
      </c>
      <c r="I88" s="262">
        <f t="shared" si="30"/>
        <v>0</v>
      </c>
      <c r="J88" s="262">
        <f t="shared" si="31"/>
        <v>0</v>
      </c>
      <c r="K88" s="119">
        <f t="shared" si="32"/>
        <v>0</v>
      </c>
      <c r="L88" s="191"/>
      <c r="M88" s="191"/>
    </row>
    <row r="89" spans="2:13" x14ac:dyDescent="0.2">
      <c r="B89" s="307" t="s">
        <v>758</v>
      </c>
      <c r="C89" s="118" t="s">
        <v>90</v>
      </c>
      <c r="D89" s="79">
        <v>0.1293</v>
      </c>
      <c r="E89" s="262">
        <f t="shared" si="27"/>
        <v>-850860.9369759066</v>
      </c>
      <c r="F89" s="262">
        <f t="shared" si="28"/>
        <v>0</v>
      </c>
      <c r="G89" s="119">
        <f t="shared" si="29"/>
        <v>-850860.9369759066</v>
      </c>
      <c r="H89" s="79">
        <v>0.11049999999999999</v>
      </c>
      <c r="I89" s="262">
        <f t="shared" si="30"/>
        <v>-686327.25580652466</v>
      </c>
      <c r="J89" s="262">
        <f t="shared" si="31"/>
        <v>0</v>
      </c>
      <c r="K89" s="119">
        <f t="shared" si="32"/>
        <v>-686327.25580652466</v>
      </c>
      <c r="L89" s="191"/>
      <c r="M89" s="191"/>
    </row>
    <row r="90" spans="2:13" x14ac:dyDescent="0.2">
      <c r="B90" s="288"/>
      <c r="C90" s="186" t="s">
        <v>175</v>
      </c>
      <c r="D90" s="122">
        <f>SUM(D80:D89)</f>
        <v>1</v>
      </c>
      <c r="E90" s="120">
        <f>'2.1 Profit &amp; Loss by component'!D43-'2.1 Profit &amp; Loss by component'!D37</f>
        <v>-6580517.6873620003</v>
      </c>
      <c r="F90" s="120">
        <f>'2.1 Profit &amp; Loss by component'!E43-'2.1 Profit &amp; Loss by component'!E37</f>
        <v>0</v>
      </c>
      <c r="G90" s="120">
        <f>SUM(G80:G89)</f>
        <v>-6580517.6873620003</v>
      </c>
      <c r="H90" s="122">
        <f>SUM(H80:H89)</f>
        <v>1</v>
      </c>
      <c r="I90" s="120">
        <f>'2.1 Profit &amp; Loss by component'!G43-'2.1 Profit &amp; Loss by component'!G37</f>
        <v>-6211106.3873893637</v>
      </c>
      <c r="J90" s="120">
        <f>'2.1 Profit &amp; Loss by component'!H43-'2.1 Profit &amp; Loss by component'!H37</f>
        <v>0</v>
      </c>
      <c r="K90" s="120">
        <f>SUM(K80:K89)</f>
        <v>-6211106.3873893637</v>
      </c>
      <c r="L90" s="191"/>
      <c r="M90" s="191"/>
    </row>
    <row r="91" spans="2:13" ht="14.25" x14ac:dyDescent="0.2">
      <c r="B91" s="288"/>
      <c r="C91" s="186" t="s">
        <v>62</v>
      </c>
      <c r="D91" s="264"/>
      <c r="E91" s="120">
        <f>E90+E78+E66</f>
        <v>-29443918.335761175</v>
      </c>
      <c r="F91" s="120">
        <f>F90+F78+F66</f>
        <v>-2490855.3071630318</v>
      </c>
      <c r="G91" s="120">
        <f>G90+G78+G66</f>
        <v>-31934773.642924208</v>
      </c>
      <c r="H91" s="264"/>
      <c r="I91" s="120">
        <f>I90+I78+I66</f>
        <v>-28938784.671714712</v>
      </c>
      <c r="J91" s="120">
        <f>J90+J78+J66</f>
        <v>-2451963.8180953264</v>
      </c>
      <c r="K91" s="120">
        <f>K90+K78+K66</f>
        <v>-31390748.489810038</v>
      </c>
      <c r="L91" s="191"/>
      <c r="M91" s="191"/>
    </row>
    <row r="92" spans="2:13" x14ac:dyDescent="0.2">
      <c r="B92" s="191"/>
      <c r="C92" s="191"/>
      <c r="D92" s="191"/>
      <c r="E92" s="191"/>
      <c r="F92" s="191"/>
      <c r="G92" s="191"/>
      <c r="H92" s="191"/>
      <c r="I92" s="191"/>
      <c r="J92" s="191"/>
      <c r="K92" s="191"/>
      <c r="L92" s="191"/>
      <c r="M92" s="191"/>
    </row>
    <row r="93" spans="2:13" x14ac:dyDescent="0.2">
      <c r="B93" s="191"/>
      <c r="C93" s="191"/>
      <c r="D93" s="191"/>
      <c r="E93" s="191"/>
      <c r="F93" s="191"/>
      <c r="G93" s="191"/>
      <c r="H93" s="191"/>
      <c r="I93" s="191"/>
      <c r="J93" s="191"/>
      <c r="K93" s="191"/>
      <c r="L93" s="191"/>
      <c r="M93" s="191"/>
    </row>
  </sheetData>
  <sheetProtection algorithmName="SHA-512" hashValue="yvR8zil4K0Ai6Uk0HNWYi4lq+InG43Am+0IrPSqONbt4hvxvLPxzKaULcGCY7qf8kXwwIUgOo4LWpWSwGyiG4w==" saltValue="saQfWnxlORUNDfZ1TuVr8Q==" spinCount="100000" sheet="1" objects="1" scenarios="1"/>
  <mergeCells count="4">
    <mergeCell ref="D52:G52"/>
    <mergeCell ref="H52:K52"/>
    <mergeCell ref="D9:G9"/>
    <mergeCell ref="H9:K9"/>
  </mergeCells>
  <conditionalFormatting sqref="D23">
    <cfRule type="cellIs" dxfId="82" priority="23" stopIfTrue="1" operator="lessThan">
      <formula>1</formula>
    </cfRule>
    <cfRule type="cellIs" dxfId="81" priority="26" stopIfTrue="1" operator="greaterThan">
      <formula>1</formula>
    </cfRule>
  </conditionalFormatting>
  <conditionalFormatting sqref="D35">
    <cfRule type="cellIs" dxfId="80" priority="21" stopIfTrue="1" operator="lessThan">
      <formula>1</formula>
    </cfRule>
    <cfRule type="cellIs" dxfId="79" priority="22" stopIfTrue="1" operator="greaterThan">
      <formula>1</formula>
    </cfRule>
  </conditionalFormatting>
  <conditionalFormatting sqref="D47">
    <cfRule type="cellIs" dxfId="78" priority="19" stopIfTrue="1" operator="lessThan">
      <formula>1</formula>
    </cfRule>
    <cfRule type="cellIs" dxfId="77" priority="20" stopIfTrue="1" operator="greaterThan">
      <formula>1</formula>
    </cfRule>
  </conditionalFormatting>
  <conditionalFormatting sqref="D66">
    <cfRule type="cellIs" dxfId="76" priority="17" stopIfTrue="1" operator="lessThan">
      <formula>1</formula>
    </cfRule>
    <cfRule type="cellIs" dxfId="75" priority="18" stopIfTrue="1" operator="greaterThan">
      <formula>1</formula>
    </cfRule>
  </conditionalFormatting>
  <conditionalFormatting sqref="D78">
    <cfRule type="cellIs" dxfId="74" priority="15" stopIfTrue="1" operator="lessThan">
      <formula>1</formula>
    </cfRule>
    <cfRule type="cellIs" dxfId="73" priority="16" stopIfTrue="1" operator="greaterThan">
      <formula>1</formula>
    </cfRule>
  </conditionalFormatting>
  <conditionalFormatting sqref="D90">
    <cfRule type="cellIs" dxfId="72" priority="13" stopIfTrue="1" operator="lessThan">
      <formula>1</formula>
    </cfRule>
    <cfRule type="cellIs" dxfId="71" priority="14" stopIfTrue="1" operator="greaterThan">
      <formula>1</formula>
    </cfRule>
  </conditionalFormatting>
  <conditionalFormatting sqref="H23">
    <cfRule type="cellIs" dxfId="70" priority="1" stopIfTrue="1" operator="lessThan">
      <formula>1</formula>
    </cfRule>
    <cfRule type="cellIs" dxfId="69" priority="2" stopIfTrue="1" operator="greaterThan">
      <formula>1</formula>
    </cfRule>
  </conditionalFormatting>
  <conditionalFormatting sqref="H35">
    <cfRule type="cellIs" dxfId="68" priority="3" stopIfTrue="1" operator="lessThan">
      <formula>1</formula>
    </cfRule>
    <cfRule type="cellIs" dxfId="67" priority="4" stopIfTrue="1" operator="greaterThan">
      <formula>1</formula>
    </cfRule>
  </conditionalFormatting>
  <conditionalFormatting sqref="H47">
    <cfRule type="cellIs" dxfId="66" priority="5" stopIfTrue="1" operator="lessThan">
      <formula>1</formula>
    </cfRule>
    <cfRule type="cellIs" dxfId="65" priority="6" stopIfTrue="1" operator="greaterThan">
      <formula>1</formula>
    </cfRule>
  </conditionalFormatting>
  <conditionalFormatting sqref="H66">
    <cfRule type="cellIs" dxfId="64" priority="7" stopIfTrue="1" operator="lessThan">
      <formula>1</formula>
    </cfRule>
    <cfRule type="cellIs" dxfId="63" priority="8" stopIfTrue="1" operator="greaterThan">
      <formula>1</formula>
    </cfRule>
  </conditionalFormatting>
  <conditionalFormatting sqref="H78">
    <cfRule type="cellIs" dxfId="62" priority="9" stopIfTrue="1" operator="lessThan">
      <formula>1</formula>
    </cfRule>
    <cfRule type="cellIs" dxfId="61" priority="10" stopIfTrue="1" operator="greaterThan">
      <formula>1</formula>
    </cfRule>
  </conditionalFormatting>
  <conditionalFormatting sqref="H90">
    <cfRule type="cellIs" dxfId="60" priority="11" stopIfTrue="1" operator="lessThan">
      <formula>1</formula>
    </cfRule>
    <cfRule type="cellIs" dxfId="59" priority="12" stopIfTrue="1" operator="greaterThan">
      <formula>1</formula>
    </cfRule>
  </conditionalFormatting>
  <pageMargins left="0.75" right="0.75" top="1" bottom="1" header="0.5" footer="0.5"/>
  <pageSetup paperSize="9" scale="58" orientation="landscape" verticalDpi="2"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BF0FF95BD8F24CA07172DC74E4C1A0" ma:contentTypeVersion="10" ma:contentTypeDescription="Create a new document." ma:contentTypeScope="" ma:versionID="87b525217045e8892cbcfb709fd62e10">
  <xsd:schema xmlns:xsd="http://www.w3.org/2001/XMLSchema" xmlns:xs="http://www.w3.org/2001/XMLSchema" xmlns:p="http://schemas.microsoft.com/office/2006/metadata/properties" xmlns:ns2="c8cbed6f-96dc-40c6-b8ad-dde309300e66" targetNamespace="http://schemas.microsoft.com/office/2006/metadata/properties" ma:root="true" ma:fieldsID="e01824238693a9b5c4772ecd9538a782" ns2:_="">
    <xsd:import namespace="c8cbed6f-96dc-40c6-b8ad-dde309300e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bed6f-96dc-40c6-b8ad-dde309300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B91C3-8EBC-409A-802C-CEA522B24EF4}">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75018c64-06a0-42bc-a01e-3ce934cf594a"/>
    <ds:schemaRef ds:uri="http://purl.org/dc/dcmitype/"/>
    <ds:schemaRef ds:uri="98a7b050-f724-40e6-93d5-bc0104b1979e"/>
    <ds:schemaRef ds:uri="http://www.w3.org/XML/1998/namespace"/>
    <ds:schemaRef ds:uri="http://purl.org/dc/terms/"/>
  </ds:schemaRefs>
</ds:datastoreItem>
</file>

<file path=customXml/itemProps2.xml><?xml version="1.0" encoding="utf-8"?>
<ds:datastoreItem xmlns:ds="http://schemas.openxmlformats.org/officeDocument/2006/customXml" ds:itemID="{A64B3D8F-1027-4945-9D04-FBBCFAD0F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bed6f-96dc-40c6-b8ad-dde309300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7A40E6-8044-4688-BC28-FC8D82649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28</vt:i4>
      </vt:variant>
    </vt:vector>
  </HeadingPairs>
  <TitlesOfParts>
    <vt:vector size="52" baseType="lpstr">
      <vt:lpstr>Cover</vt:lpstr>
      <vt:lpstr>Contents</vt:lpstr>
      <vt:lpstr>Financial summary</vt:lpstr>
      <vt:lpstr>Data visualisation</vt:lpstr>
      <vt:lpstr>Pricing benchmarks summary</vt:lpstr>
      <vt:lpstr>1. Pipeline information</vt:lpstr>
      <vt:lpstr>2. Revenue and expenses</vt:lpstr>
      <vt:lpstr>2.1 Profit &amp; Loss by component</vt:lpstr>
      <vt:lpstr>2.2 Allocation to services</vt:lpstr>
      <vt:lpstr>2.3 Revenue contributions </vt:lpstr>
      <vt:lpstr>2.4 Indirect revenue</vt:lpstr>
      <vt:lpstr>2.5 Shared expenses</vt:lpstr>
      <vt:lpstr>3.1 Depreciated Book Value</vt:lpstr>
      <vt:lpstr>3.2 Regulatory Asset Base</vt:lpstr>
      <vt:lpstr>3.3 Asset useful life</vt:lpstr>
      <vt:lpstr>3.4 Asset impairment</vt:lpstr>
      <vt:lpstr>3.5 Depreciation amortisation</vt:lpstr>
      <vt:lpstr>3.6 Shared supporting assets</vt:lpstr>
      <vt:lpstr>4. Recovered Capital</vt:lpstr>
      <vt:lpstr>4.1 Pipelines capex</vt:lpstr>
      <vt:lpstr>5. Historical demand</vt:lpstr>
      <vt:lpstr>6. Pricing template</vt:lpstr>
      <vt:lpstr>Sheet1</vt:lpstr>
      <vt:lpstr>Amendment record</vt:lpstr>
      <vt:lpstr>ABN</vt:lpstr>
      <vt:lpstr>'1. Pipeline information'!Print_Area</vt:lpstr>
      <vt:lpstr>'2. Revenue and expenses'!Print_Area</vt:lpstr>
      <vt:lpstr>'2.1 Profit &amp; Loss by component'!Print_Area</vt:lpstr>
      <vt:lpstr>'2.2 Allocation to services'!Print_Area</vt:lpstr>
      <vt:lpstr>'2.3 Revenue contributions '!Print_Area</vt:lpstr>
      <vt:lpstr>'2.4 Indirect revenue'!Print_Area</vt:lpstr>
      <vt:lpstr>'2.5 Shared expenses'!Print_Area</vt:lpstr>
      <vt:lpstr>'3.1 Depreciated Book Value'!Print_Area</vt:lpstr>
      <vt:lpstr>'3.2 Regulatory Asset Base'!Print_Area</vt:lpstr>
      <vt:lpstr>'3.3 Asset useful life'!Print_Area</vt:lpstr>
      <vt:lpstr>'3.4 Asset impairment'!Print_Area</vt:lpstr>
      <vt:lpstr>'3.5 Depreciation amortisation'!Print_Area</vt:lpstr>
      <vt:lpstr>'3.6 Shared supporting assets'!Print_Area</vt:lpstr>
      <vt:lpstr>'4. Recovered Capital'!Print_Area</vt:lpstr>
      <vt:lpstr>'4.1 Pipelines capex'!Print_Area</vt:lpstr>
      <vt:lpstr>'5. Historical demand'!Print_Area</vt:lpstr>
      <vt:lpstr>Cover!Print_Area</vt:lpstr>
      <vt:lpstr>'Data visualisation'!Print_Area</vt:lpstr>
      <vt:lpstr>Sheet1!Print_Area</vt:lpstr>
      <vt:lpstr>rAllAssets</vt:lpstr>
      <vt:lpstr>rInitialcosts</vt:lpstr>
      <vt:lpstr>rInitialyears</vt:lpstr>
      <vt:lpstr>rPipelineAssets</vt:lpstr>
      <vt:lpstr>rSharedAssets</vt:lpstr>
      <vt:lpstr>Tradingname</vt:lpstr>
      <vt:lpstr>Yearending</vt:lpstr>
      <vt:lpstr>Yearstart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Cathy</dc:creator>
  <cp:keywords/>
  <dc:description/>
  <cp:lastModifiedBy>Jamie Coombs</cp:lastModifiedBy>
  <cp:revision/>
  <cp:lastPrinted>2025-12-01T03:54:59Z</cp:lastPrinted>
  <dcterms:created xsi:type="dcterms:W3CDTF">2021-05-07T02:14:11Z</dcterms:created>
  <dcterms:modified xsi:type="dcterms:W3CDTF">2025-12-23T00:49:26Z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2023-10-06T00:12:00Z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0a0f773b-a259-4d79-90b4-dbf8487c7a20</vt:lpwstr>
  </property>
  <property fmtid="{D5CDD505-2E9C-101B-9397-08002B2CF9AE}" pid="8" name="MSIP_Label_ea60d57e-af5b-4752-ac57-3e4f28ca11dc_ContentBits">
    <vt:lpwstr>0</vt:lpwstr>
  </property>
  <property fmtid="{D5CDD505-2E9C-101B-9397-08002B2CF9AE}" pid="9" name="ContentTypeId">
    <vt:lpwstr>0x01010069BF0FF95BD8F24CA07172DC74E4C1A0</vt:lpwstr>
  </property>
</Properties>
</file>